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Avertissement" sheetId="1" r:id="rId1"/>
    <sheet name="Offres de références" sheetId="2" r:id="rId2"/>
    <sheet name="Hypothèses et paramètres" sheetId="3" r:id="rId3"/>
    <sheet name="Calculs" sheetId="4" r:id="rId4"/>
    <sheet name="Synthèse" sheetId="5" r:id="rId5"/>
  </sheets>
  <definedNames>
    <definedName name="_xlnm.Print_Area" localSheetId="3">'Calculs'!$A$1:$F$125</definedName>
    <definedName name="_xlnm.Print_Area" localSheetId="2">'Hypothèses et paramètres'!$A$1:$I$92</definedName>
    <definedName name="_xlnm.Print_Area" localSheetId="1">'Offres de références'!$B$2:$G$178</definedName>
    <definedName name="_xlnm.Print_Area" localSheetId="4">'Synthèse'!$B$2:$I$40</definedName>
  </definedNames>
  <calcPr fullCalcOnLoad="1"/>
</workbook>
</file>

<file path=xl/comments2.xml><?xml version="1.0" encoding="utf-8"?>
<comments xmlns="http://schemas.openxmlformats.org/spreadsheetml/2006/main">
  <authors>
    <author>Sylvain MOLL</author>
  </authors>
  <commentList>
    <comment ref="G177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  <comment ref="F177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<sst xmlns="http://schemas.openxmlformats.org/spreadsheetml/2006/main" count="464" uniqueCount="259">
  <si>
    <t>Ligne</t>
  </si>
  <si>
    <t>Offre Mars 2005</t>
  </si>
  <si>
    <t>FAS Partiel</t>
  </si>
  <si>
    <t>FAS Total</t>
  </si>
  <si>
    <t>Frais de résilliation Partiel</t>
  </si>
  <si>
    <t>Frais de résilliation Total</t>
  </si>
  <si>
    <t>Tarif mensuel accès partagé</t>
  </si>
  <si>
    <t>Tarif mensuel filtrage</t>
  </si>
  <si>
    <t>Tarif mensuel accès total</t>
  </si>
  <si>
    <t>Frais de commande non conforme</t>
  </si>
  <si>
    <t>Salles de cohabitation</t>
  </si>
  <si>
    <t>Emplacement baie</t>
  </si>
  <si>
    <t>Frais d'aménagement</t>
  </si>
  <si>
    <t>Sur devis</t>
  </si>
  <si>
    <t>Frais de mise à disposition d'un emplacement</t>
  </si>
  <si>
    <t>Redevance mensuelle zone 1</t>
  </si>
  <si>
    <t>Redevance mensuelle zone 2</t>
  </si>
  <si>
    <t>Redevance mensuelle zone 3</t>
  </si>
  <si>
    <t>Redevance mensuelle zone 4</t>
  </si>
  <si>
    <t>Redevance mensuelle zone 5</t>
  </si>
  <si>
    <t>Charges annuelles spécifiques par emplacement pour les salles de cohabitation</t>
  </si>
  <si>
    <t>Energie 48V et Climatisation</t>
  </si>
  <si>
    <t>Tarifs annuels par kW fourni</t>
  </si>
  <si>
    <t>Tarifs annuels par kW fourni avec climatisation</t>
  </si>
  <si>
    <t>Tarif de modification de la puissance commandée</t>
  </si>
  <si>
    <t>Tarifs mensuels Câbles de renvois L804 4/10 (câble le plus courammant utilisé)</t>
  </si>
  <si>
    <t>1 module (€ par mois)</t>
  </si>
  <si>
    <t>2 modules (€ par mois)</t>
  </si>
  <si>
    <t>3 modules (€ par mois)</t>
  </si>
  <si>
    <t>4 modules (€ par mois)</t>
  </si>
  <si>
    <t>5 modules (€ par mois)</t>
  </si>
  <si>
    <t>6 modules (€ par mois)</t>
  </si>
  <si>
    <t>7 modules (€ par mois)</t>
  </si>
  <si>
    <t>8 modules (€ par mois)</t>
  </si>
  <si>
    <t>9 modules (€ par mois)</t>
  </si>
  <si>
    <t>FAS Câbles de renvois L804 4/10</t>
  </si>
  <si>
    <t>Uniformisation du tarif des câbles de renvoi sous la forme d'un tarif mensuel</t>
  </si>
  <si>
    <t>(FAS mensualisé)</t>
  </si>
  <si>
    <t>1 module</t>
  </si>
  <si>
    <t>2 modules</t>
  </si>
  <si>
    <t>3 modules</t>
  </si>
  <si>
    <t>4 modules</t>
  </si>
  <si>
    <t>5 modules</t>
  </si>
  <si>
    <t>6 modules</t>
  </si>
  <si>
    <t>7 modules</t>
  </si>
  <si>
    <t>8 modules</t>
  </si>
  <si>
    <t>9 modules</t>
  </si>
  <si>
    <t>Lissage des coûts des câbles de renvoi (coût par paire)</t>
  </si>
  <si>
    <t>coût mensuel indépendant du nombre d'accès</t>
  </si>
  <si>
    <t>coût mensuel par accès</t>
  </si>
  <si>
    <t>Espaces dédiés</t>
  </si>
  <si>
    <t>Accès du personnel autorisé</t>
  </si>
  <si>
    <t>Coût fixe de l'accès du personnel autorisé</t>
  </si>
  <si>
    <t>Coût par personne</t>
  </si>
  <si>
    <t>Tarif par emplacement mis à disposition de l’opérateur</t>
  </si>
  <si>
    <t>Redevance mensuelle zone  5</t>
  </si>
  <si>
    <t>Prix mensuel par emplacement équipé à 2 kW</t>
  </si>
  <si>
    <t>Prix mensuel par emplacement équipé à 2 kW avec climatisation</t>
  </si>
  <si>
    <t>Prix mensuel par emplacement équipé à 4 kW</t>
  </si>
  <si>
    <t>Prix mensuel par emplacement équipé à 4 kW avec climatisation</t>
  </si>
  <si>
    <t>Prix mensuel par kW commandé</t>
  </si>
  <si>
    <t>Prix mensuel par kW commandé avec cilmatisation</t>
  </si>
  <si>
    <t>Tarifs mensuels Câbles de renvoi L804 4/10</t>
  </si>
  <si>
    <t>FAS Câbles de renvoi L804 4/10</t>
  </si>
  <si>
    <t>(tarif mensuel de l'offre + FAS mensualisés)</t>
  </si>
  <si>
    <t>LIB (A2)</t>
  </si>
  <si>
    <t>Frais d'accès au service (€)</t>
  </si>
  <si>
    <t>Abonnement (€ par mois)</t>
  </si>
  <si>
    <t>Offre de référence</t>
  </si>
  <si>
    <t>Type de dégroupage</t>
  </si>
  <si>
    <t>Taille du répartiteur (nb LP)</t>
  </si>
  <si>
    <t>Salle ou Espace</t>
  </si>
  <si>
    <t>Type de Zone</t>
  </si>
  <si>
    <t>Nombre de modules</t>
  </si>
  <si>
    <t>Climatisation</t>
  </si>
  <si>
    <t>Taux de pénétration du DSL</t>
  </si>
  <si>
    <t>Part de marché de l'opérateur sur le marché du DSL</t>
  </si>
  <si>
    <t>Taux de croissance mensuel du dégroupage</t>
  </si>
  <si>
    <t>Durée d'amortissement des FAS (ans)</t>
  </si>
  <si>
    <t>Durée d'amortissement Frais de résilliation (ans)</t>
  </si>
  <si>
    <t>Taux de résilliations facturées</t>
  </si>
  <si>
    <t>Taux de commande non conforme</t>
  </si>
  <si>
    <t>Cohabitation des équipements</t>
  </si>
  <si>
    <t>Coût salle (€ par emplacement et par salle)</t>
  </si>
  <si>
    <t>Durée d'amortissement des salles (ans)</t>
  </si>
  <si>
    <t>Emplacement de baie</t>
  </si>
  <si>
    <t>Durée d'amortissement des frais d'accès emplacement baie (ans)</t>
  </si>
  <si>
    <t>Nombre de DSLAM par emplacement</t>
  </si>
  <si>
    <t>Câbles de renvois</t>
  </si>
  <si>
    <t>Durée d'amortissement FAS Câbles de renvoi (ans)</t>
  </si>
  <si>
    <t>Avance de phase (nombre de mois)</t>
  </si>
  <si>
    <t>Nombre de LIB par emplacement</t>
  </si>
  <si>
    <t>Climatisatiseur (pour 6 emplacements)</t>
  </si>
  <si>
    <t>Coût achat et installation climatiseur pour une salle de cohabitation (€)</t>
  </si>
  <si>
    <t>Durée d'amortissement des climatiseurs (ans)</t>
  </si>
  <si>
    <t>Maintenance (4h/mois) (€/an)</t>
  </si>
  <si>
    <t>Energie</t>
  </si>
  <si>
    <t>Consommation par accès (W)</t>
  </si>
  <si>
    <t>Nombre annuel de modifications de la puissance commandée</t>
  </si>
  <si>
    <t>Accès personnels autorisés</t>
  </si>
  <si>
    <t>Personnel Autorisé</t>
  </si>
  <si>
    <t>DSLAM</t>
  </si>
  <si>
    <t>Coûts achat et installation DSLAM (€)</t>
  </si>
  <si>
    <t>Durée de vie (années)</t>
  </si>
  <si>
    <t>Coût de maintenance (% de l'I)</t>
  </si>
  <si>
    <t>Coût du capital</t>
  </si>
  <si>
    <t>Taux de rémunération du capital</t>
  </si>
  <si>
    <t>Taux de progrès technique</t>
  </si>
  <si>
    <t>Coûts d'overhead</t>
  </si>
  <si>
    <t>coûts communs (% des coûts techniques hors reversements à France Télécom)</t>
  </si>
  <si>
    <t>Total</t>
  </si>
  <si>
    <t>Oui</t>
  </si>
  <si>
    <t>Partiel</t>
  </si>
  <si>
    <t>Non</t>
  </si>
  <si>
    <t>Dénombrements (pour mémoire)</t>
  </si>
  <si>
    <t>Nb de DSLAM nécessaires à la consommation courante</t>
  </si>
  <si>
    <t>Nb de DSLAM installés</t>
  </si>
  <si>
    <t>Nombre d'emplacements nécessaires à la consommation courante</t>
  </si>
  <si>
    <t>Nombre d'emplacements installés</t>
  </si>
  <si>
    <t>Nombre de câbles de renvoi nécessaires à la consommation courante</t>
  </si>
  <si>
    <t>Nombre de câbles de renvoi installés</t>
  </si>
  <si>
    <t xml:space="preserve">Nombre de LIB </t>
  </si>
  <si>
    <t>Paramètres "financiers"</t>
  </si>
  <si>
    <t>Taux composite</t>
  </si>
  <si>
    <t>Paramètre de mensualisation des FAS de ligne</t>
  </si>
  <si>
    <t>Paramètre de mensualisation des FAS des équipements</t>
  </si>
  <si>
    <t xml:space="preserve">Ligne </t>
  </si>
  <si>
    <t>Coût total Mensuel</t>
  </si>
  <si>
    <t>Coût/mois/accès</t>
  </si>
  <si>
    <t>FAS mensualisés</t>
  </si>
  <si>
    <t>€/mois</t>
  </si>
  <si>
    <t>Coût total des lignes</t>
  </si>
  <si>
    <t>Annuité</t>
  </si>
  <si>
    <t>€/an/DSLAM</t>
  </si>
  <si>
    <t>Coût de maintenance</t>
  </si>
  <si>
    <t>équivalent FAS annuel mensualisé</t>
  </si>
  <si>
    <t>coût variable du DSLAM à la ligne mensualisé</t>
  </si>
  <si>
    <t>€/mois/ligne</t>
  </si>
  <si>
    <t>coût du DSLAM pour l'ensemble des lignes</t>
  </si>
  <si>
    <t>coût total DSLAM mensuel</t>
  </si>
  <si>
    <t>Coût des emplacements dans les salles de cohabitation</t>
  </si>
  <si>
    <t>Coût annualisé de construction de la salle par emplacement</t>
  </si>
  <si>
    <t>€/an/emplacement</t>
  </si>
  <si>
    <t>Contribution mensualisée à la construction de la salle de cohabitation</t>
  </si>
  <si>
    <t>FAS mensualisés de mise à disposition des emplacements</t>
  </si>
  <si>
    <t>Location mensuelle de l'emplacement</t>
  </si>
  <si>
    <t>Câbles de renvoi L804 4/10</t>
  </si>
  <si>
    <t>récurrent 1 module (€ par mois)</t>
  </si>
  <si>
    <t>récurrent 2 module (€ par mois)</t>
  </si>
  <si>
    <t>récurrent 3 module (€ par mois)</t>
  </si>
  <si>
    <t>récurrent 4 module (€ par mois)</t>
  </si>
  <si>
    <t>récurrent 5 module (€ par mois)</t>
  </si>
  <si>
    <t>récurrent 6 module (€ par mois)</t>
  </si>
  <si>
    <t>récurrent 7 module (€ par mois)</t>
  </si>
  <si>
    <t>récurrent 8 module (€ par mois)</t>
  </si>
  <si>
    <t>récurrent 9 module (€ par mois)</t>
  </si>
  <si>
    <t>Redevance mensuelle pour les câbles de renvois</t>
  </si>
  <si>
    <t>Climatisation (achat, installation, maintenance)</t>
  </si>
  <si>
    <t>Energie 48V</t>
  </si>
  <si>
    <t>Consommation effective</t>
  </si>
  <si>
    <t>Watts</t>
  </si>
  <si>
    <t>Coût variable mensuel du Watt</t>
  </si>
  <si>
    <t>€/kW/mois</t>
  </si>
  <si>
    <t>Coût mensuel de l'énergie consommée</t>
  </si>
  <si>
    <t>FAS énergie mensualisés</t>
  </si>
  <si>
    <t>Coût total mensualisé</t>
  </si>
  <si>
    <t>Sous total salles</t>
  </si>
  <si>
    <t>Coût des emplacements</t>
  </si>
  <si>
    <t>Câbles de renvois L804 4/10</t>
  </si>
  <si>
    <t>Redevance mensuelle pour les câbles de renvoi</t>
  </si>
  <si>
    <t>Coût variable mensuel du KiloWatt</t>
  </si>
  <si>
    <t>€/mois/kW</t>
  </si>
  <si>
    <t>Coût mensuel variable</t>
  </si>
  <si>
    <t>Sous total espace</t>
  </si>
  <si>
    <t>LIB</t>
  </si>
  <si>
    <t>Redevance mensuelle</t>
  </si>
  <si>
    <t>Coût total des LIBs</t>
  </si>
  <si>
    <t>Total des coûts techniques</t>
  </si>
  <si>
    <t>Coût/mois</t>
  </si>
  <si>
    <t>Coûts d'overhead / coûts indirects</t>
  </si>
  <si>
    <t>Coûts commerciaux</t>
  </si>
  <si>
    <t>Coûts communs</t>
  </si>
  <si>
    <t>Coût total</t>
  </si>
  <si>
    <t>Rappel des hypothèses</t>
  </si>
  <si>
    <t>Actifs immobilisés</t>
  </si>
  <si>
    <t xml:space="preserve">DSLAM (€) </t>
  </si>
  <si>
    <t>Climatiseur  (€)</t>
  </si>
  <si>
    <t>Frais Non Récurrents</t>
  </si>
  <si>
    <t>Liés à l'emplacement</t>
  </si>
  <si>
    <t>FAS cohabitation</t>
  </si>
  <si>
    <t>FAS environnement (câble, LIB, énergie)</t>
  </si>
  <si>
    <t>Liés à la ligne</t>
  </si>
  <si>
    <t>Frais récurents</t>
  </si>
  <si>
    <t>récurent cohabitation</t>
  </si>
  <si>
    <t>récurrent environnement (LIB, câbles, énergie…)</t>
  </si>
  <si>
    <t>TOTAL hors contribution aux coûts communs et aux coûts commerciaux</t>
  </si>
  <si>
    <t>Contribution aux coûts communs et aux coûts commerciaux</t>
  </si>
  <si>
    <t>TOTAL</t>
  </si>
  <si>
    <t>Offre Juillet 2005</t>
  </si>
  <si>
    <t>Frais de mise en continuité de tronçons préexistants 1paire</t>
  </si>
  <si>
    <t>Frais de mise en continuité de tronçons préexistants 2 paires</t>
  </si>
  <si>
    <t>Frais de mise en continuité de tronçons préexistants 4 paires</t>
  </si>
  <si>
    <t>Frais de branchement (de 1 à 4 paires)</t>
  </si>
  <si>
    <t>Tarif de recette contradictoire</t>
  </si>
  <si>
    <t>Tarif mensuel GTR 4h 24/24 &amp; 7/7</t>
  </si>
  <si>
    <t>Tarif mensuel GTR 4h ouvrées</t>
  </si>
  <si>
    <t>Type de dégroupage (uniquement Total pour le marché pro)</t>
  </si>
  <si>
    <t>Type de GTR</t>
  </si>
  <si>
    <t>Recette contradictoire</t>
  </si>
  <si>
    <t>Nombre de paire de l'accès</t>
  </si>
  <si>
    <t>Branchement nécessaire</t>
  </si>
  <si>
    <t>Sans GTR optionelle</t>
  </si>
  <si>
    <t>GTR 4H ouvrées</t>
  </si>
  <si>
    <t>GTR 4H 24/24 &amp; 7/7</t>
  </si>
  <si>
    <t>Nb Paire</t>
  </si>
  <si>
    <t>Branchement</t>
  </si>
  <si>
    <t>GTR</t>
  </si>
  <si>
    <t>Recette</t>
  </si>
  <si>
    <t>Clim</t>
  </si>
  <si>
    <r>
      <t>Frais de branchement</t>
    </r>
    <r>
      <rPr>
        <b/>
        <sz val="8"/>
        <rFont val="Arial"/>
        <family val="2"/>
      </rPr>
      <t xml:space="preserve"> (quelque soit nb paire)</t>
    </r>
  </si>
  <si>
    <r>
      <t xml:space="preserve">Frais de recette contradictoire </t>
    </r>
    <r>
      <rPr>
        <b/>
        <sz val="8"/>
        <rFont val="Arial"/>
        <family val="2"/>
      </rPr>
      <t>(quelque soit nb paire)</t>
    </r>
  </si>
  <si>
    <r>
      <t xml:space="preserve">Tarif mensuel GTR 4H ouvrées </t>
    </r>
    <r>
      <rPr>
        <b/>
        <sz val="8"/>
        <rFont val="Arial"/>
        <family val="2"/>
      </rPr>
      <t>(quelque soit nb paire)</t>
    </r>
  </si>
  <si>
    <r>
      <t xml:space="preserve">Tarif mensuel GTR 24/24 &amp; 7/7 </t>
    </r>
    <r>
      <rPr>
        <b/>
        <sz val="8"/>
        <rFont val="Arial"/>
        <family val="2"/>
      </rPr>
      <t>(quelque soit nb paire)</t>
    </r>
  </si>
  <si>
    <t>Construction</t>
  </si>
  <si>
    <t>nd</t>
  </si>
  <si>
    <r>
      <t xml:space="preserve">Frais de mise en continuité de tronçons préexistents </t>
    </r>
    <r>
      <rPr>
        <b/>
        <sz val="8"/>
        <rFont val="Arial"/>
        <family val="2"/>
      </rPr>
      <t>(selon nb paire)</t>
    </r>
  </si>
  <si>
    <r>
      <t>FAS mensualisés</t>
    </r>
    <r>
      <rPr>
        <b/>
        <sz val="8"/>
        <rFont val="Arial"/>
        <family val="2"/>
      </rPr>
      <t xml:space="preserve"> (x nb paire)</t>
    </r>
  </si>
  <si>
    <r>
      <t xml:space="preserve">Frais de commande non conforme mensualisés </t>
    </r>
    <r>
      <rPr>
        <b/>
        <sz val="8"/>
        <rFont val="Arial"/>
        <family val="2"/>
      </rPr>
      <t xml:space="preserve"> (x nb paire)</t>
    </r>
  </si>
  <si>
    <r>
      <t xml:space="preserve">Tarif mensuel accès total  </t>
    </r>
    <r>
      <rPr>
        <b/>
        <sz val="8"/>
        <rFont val="Arial"/>
        <family val="2"/>
      </rPr>
      <t>(x nb paire)</t>
    </r>
  </si>
  <si>
    <r>
      <t xml:space="preserve">Frais de résilliation mensualisés </t>
    </r>
    <r>
      <rPr>
        <b/>
        <sz val="8"/>
        <rFont val="Arial"/>
        <family val="2"/>
      </rPr>
      <t xml:space="preserve"> (x nb paire)</t>
    </r>
  </si>
  <si>
    <t>Part des lignes sur le marché potentiel</t>
  </si>
  <si>
    <t>Offre de référence……………………………</t>
  </si>
  <si>
    <t>Taille du répartiteur……………………………</t>
  </si>
  <si>
    <t>Nombre de ligne pertinent……………………………</t>
  </si>
  <si>
    <t>Taux de pénétration du DSL……………………………</t>
  </si>
  <si>
    <t>Part de marché de l'opérateur……………………………</t>
  </si>
  <si>
    <t>Salle ou Espace……………………………</t>
  </si>
  <si>
    <t>Type de Zone……………………………</t>
  </si>
  <si>
    <t>Nombre de modules……………………………</t>
  </si>
  <si>
    <t>Climatisation……………………………</t>
  </si>
  <si>
    <t>Recette contradictoire…………………</t>
  </si>
  <si>
    <t>Type de GTR……………………...……</t>
  </si>
  <si>
    <t>Nombre de paire de cuivre………...…</t>
  </si>
  <si>
    <t>Branchement…………………...………</t>
  </si>
  <si>
    <t>Type de dégroupage………..…………</t>
  </si>
  <si>
    <t>Type d'accès</t>
  </si>
  <si>
    <t>ADSL</t>
  </si>
  <si>
    <t>SDSL</t>
  </si>
  <si>
    <t>Capacité du DSLAM ADSL</t>
  </si>
  <si>
    <t>Capacité du DSLAM SDSL</t>
  </si>
  <si>
    <t>Total de frais non récurents (FAS, création de ligne, résiliation…)</t>
  </si>
  <si>
    <t>Coût carte ADSL (par port)</t>
  </si>
  <si>
    <t>Coût carte SDSL (par port)</t>
  </si>
  <si>
    <t>Coût du Chassis</t>
  </si>
  <si>
    <t>coûts propres de l'opérateur (% des coûts techniques tenant compte des coûts communs)</t>
  </si>
  <si>
    <t>Caractéristiques du marché</t>
  </si>
  <si>
    <t>Caractéristiques du répartiteur</t>
  </si>
  <si>
    <t>Nombre de Paire de cuivre dégroupées par l'opérateur</t>
  </si>
  <si>
    <t>Nombre d'accès dégroupées par l'opérateur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</si>
</sst>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#,##0_ ;\-#,##0\ "/>
    <numFmt numFmtId="166" formatCode="_-* #,##0.00\ [$€]_-;\-* #,##0.00\ [$€]_-;_-* &quot;-&quot;??\ [$€]_-;_-@_-"/>
    <numFmt numFmtId="167" formatCode="0.000"/>
    <numFmt numFmtId="168" formatCode="0.00000"/>
    <numFmt numFmtId="169" formatCode="#,##0.00_ ;\-#,##0.00\ "/>
    <numFmt numFmtId="170" formatCode="0.0%"/>
    <numFmt numFmtId="171" formatCode="#,##0.00\ [$€-1];\-#,##0.00\ [$€-1]"/>
    <numFmt numFmtId="172" formatCode="0.00000000"/>
    <numFmt numFmtId="173" formatCode="0.0000000"/>
    <numFmt numFmtId="174" formatCode="0.000000"/>
    <numFmt numFmtId="175" formatCode="0.0000"/>
    <numFmt numFmtId="176" formatCode="#,##0.000"/>
    <numFmt numFmtId="177" formatCode="#,##0.0000"/>
    <numFmt numFmtId="178" formatCode="#,##0.00000"/>
    <numFmt numFmtId="179" formatCode="_-* #,##0\ _F_-;\-* #,##0\ _F_-;_-* &quot;-&quot;??\ _F_-;_-@_-"/>
    <numFmt numFmtId="180" formatCode="_-* #,##0.0\ _F_-;\-* #,##0.0\ _F_-;_-* &quot;-&quot;??\ _F_-;_-@_-"/>
    <numFmt numFmtId="181" formatCode="&quot;Vrai&quot;;&quot;Vrai&quot;;&quot;Faux&quot;"/>
    <numFmt numFmtId="182" formatCode="&quot;Actif&quot;;&quot;Actif&quot;;&quot;Inactif&quot;"/>
  </numFmts>
  <fonts count="22">
    <font>
      <sz val="10"/>
      <name val="Arial"/>
      <family val="0"/>
    </font>
    <font>
      <b/>
      <sz val="18"/>
      <color indexed="18"/>
      <name val="Times New Roman"/>
      <family val="1"/>
    </font>
    <font>
      <sz val="10"/>
      <name val="Verdan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2"/>
      <name val="Verdana"/>
      <family val="2"/>
    </font>
    <font>
      <sz val="4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17" fontId="3" fillId="3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5" fontId="5" fillId="2" borderId="0" xfId="15" applyNumberFormat="1" applyFont="1" applyFill="1" applyAlignment="1">
      <alignment/>
    </xf>
    <xf numFmtId="3" fontId="5" fillId="2" borderId="0" xfId="15" applyNumberFormat="1" applyFont="1" applyFill="1" applyAlignment="1">
      <alignment/>
    </xf>
    <xf numFmtId="3" fontId="7" fillId="2" borderId="0" xfId="15" applyNumberFormat="1" applyFont="1" applyFill="1" applyAlignment="1">
      <alignment horizontal="right"/>
    </xf>
    <xf numFmtId="3" fontId="5" fillId="2" borderId="0" xfId="15" applyNumberFormat="1" applyFont="1" applyFill="1" applyAlignment="1">
      <alignment/>
    </xf>
    <xf numFmtId="3" fontId="9" fillId="2" borderId="0" xfId="15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9" fontId="6" fillId="2" borderId="0" xfId="20" applyFont="1" applyFill="1" applyAlignment="1">
      <alignment/>
    </xf>
    <xf numFmtId="9" fontId="6" fillId="2" borderId="0" xfId="0" applyNumberFormat="1" applyFont="1" applyFill="1" applyAlignment="1">
      <alignment/>
    </xf>
    <xf numFmtId="9" fontId="5" fillId="2" borderId="0" xfId="20" applyFont="1" applyFill="1" applyAlignment="1">
      <alignment/>
    </xf>
    <xf numFmtId="3" fontId="6" fillId="2" borderId="0" xfId="15" applyNumberFormat="1" applyFont="1" applyFill="1" applyAlignment="1">
      <alignment/>
    </xf>
    <xf numFmtId="17" fontId="6" fillId="2" borderId="0" xfId="0" applyNumberFormat="1" applyFont="1" applyFill="1" applyAlignment="1">
      <alignment/>
    </xf>
    <xf numFmtId="169" fontId="6" fillId="2" borderId="0" xfId="15" applyNumberFormat="1" applyFont="1" applyFill="1" applyAlignment="1">
      <alignment horizontal="right"/>
    </xf>
    <xf numFmtId="165" fontId="6" fillId="2" borderId="0" xfId="15" applyNumberFormat="1" applyFont="1" applyFill="1" applyAlignment="1">
      <alignment horizontal="right"/>
    </xf>
    <xf numFmtId="20" fontId="0" fillId="2" borderId="0" xfId="0" applyNumberFormat="1" applyFill="1" applyAlignment="1">
      <alignment/>
    </xf>
    <xf numFmtId="170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3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3" fontId="6" fillId="2" borderId="0" xfId="15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9" fontId="6" fillId="2" borderId="0" xfId="20" applyFont="1" applyFill="1" applyAlignment="1">
      <alignment horizontal="right"/>
    </xf>
    <xf numFmtId="164" fontId="6" fillId="2" borderId="0" xfId="15" applyNumberFormat="1" applyFont="1" applyFill="1" applyAlignment="1">
      <alignment horizontal="right"/>
    </xf>
    <xf numFmtId="4" fontId="6" fillId="2" borderId="0" xfId="15" applyNumberFormat="1" applyFont="1" applyFill="1" applyAlignment="1">
      <alignment horizontal="right"/>
    </xf>
    <xf numFmtId="3" fontId="5" fillId="2" borderId="0" xfId="15" applyNumberFormat="1" applyFont="1" applyFill="1" applyAlignment="1">
      <alignment horizontal="right"/>
    </xf>
    <xf numFmtId="164" fontId="5" fillId="2" borderId="0" xfId="15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5" fillId="2" borderId="0" xfId="15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14" fillId="2" borderId="0" xfId="15" applyNumberFormat="1" applyFont="1" applyFill="1" applyAlignment="1">
      <alignment horizontal="right"/>
    </xf>
    <xf numFmtId="3" fontId="15" fillId="2" borderId="0" xfId="15" applyNumberFormat="1" applyFont="1" applyFill="1" applyAlignment="1">
      <alignment horizontal="right"/>
    </xf>
    <xf numFmtId="4" fontId="15" fillId="2" borderId="0" xfId="15" applyNumberFormat="1" applyFont="1" applyFill="1" applyAlignment="1">
      <alignment horizontal="right"/>
    </xf>
    <xf numFmtId="3" fontId="16" fillId="2" borderId="0" xfId="15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17" fillId="2" borderId="0" xfId="0" applyFont="1" applyFill="1" applyAlignment="1">
      <alignment/>
    </xf>
    <xf numFmtId="0" fontId="14" fillId="2" borderId="0" xfId="0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14" fillId="2" borderId="0" xfId="0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right"/>
    </xf>
    <xf numFmtId="164" fontId="6" fillId="2" borderId="0" xfId="15" applyNumberFormat="1" applyFont="1" applyFill="1" applyAlignment="1">
      <alignment/>
    </xf>
    <xf numFmtId="2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9" fontId="6" fillId="2" borderId="1" xfId="20" applyFont="1" applyFill="1" applyBorder="1" applyAlignment="1">
      <alignment/>
    </xf>
    <xf numFmtId="3" fontId="5" fillId="2" borderId="0" xfId="0" applyNumberFormat="1" applyFont="1" applyFill="1" applyAlignment="1">
      <alignment horizontal="right"/>
    </xf>
    <xf numFmtId="164" fontId="6" fillId="2" borderId="1" xfId="20" applyNumberFormat="1" applyFont="1" applyFill="1" applyBorder="1" applyAlignment="1">
      <alignment/>
    </xf>
    <xf numFmtId="3" fontId="6" fillId="2" borderId="1" xfId="15" applyNumberFormat="1" applyFont="1" applyFill="1" applyBorder="1" applyAlignment="1">
      <alignment/>
    </xf>
    <xf numFmtId="164" fontId="6" fillId="2" borderId="1" xfId="15" applyNumberFormat="1" applyFont="1" applyFill="1" applyBorder="1" applyAlignment="1">
      <alignment/>
    </xf>
    <xf numFmtId="164" fontId="3" fillId="3" borderId="0" xfId="0" applyNumberFormat="1" applyFont="1" applyFill="1" applyAlignment="1">
      <alignment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4" fontId="6" fillId="4" borderId="4" xfId="0" applyNumberFormat="1" applyFont="1" applyFill="1" applyBorder="1" applyAlignment="1">
      <alignment/>
    </xf>
    <xf numFmtId="4" fontId="6" fillId="2" borderId="0" xfId="15" applyNumberFormat="1" applyFont="1" applyFill="1" applyAlignment="1">
      <alignment/>
    </xf>
    <xf numFmtId="17" fontId="3" fillId="3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/>
    </xf>
    <xf numFmtId="2" fontId="14" fillId="2" borderId="0" xfId="0" applyNumberFormat="1" applyFont="1" applyFill="1" applyAlignment="1">
      <alignment/>
    </xf>
    <xf numFmtId="9" fontId="18" fillId="2" borderId="0" xfId="20" applyFont="1" applyFill="1" applyAlignment="1">
      <alignment/>
    </xf>
    <xf numFmtId="0" fontId="18" fillId="2" borderId="0" xfId="0" applyFont="1" applyFill="1" applyAlignment="1">
      <alignment/>
    </xf>
    <xf numFmtId="178" fontId="18" fillId="2" borderId="0" xfId="0" applyNumberFormat="1" applyFont="1" applyFill="1" applyAlignment="1">
      <alignment/>
    </xf>
    <xf numFmtId="9" fontId="18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170" fontId="6" fillId="2" borderId="0" xfId="20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123825</xdr:rowOff>
    </xdr:from>
    <xdr:to>
      <xdr:col>11</xdr:col>
      <xdr:colOff>9525</xdr:colOff>
      <xdr:row>4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04775" y="77152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9525</xdr:rowOff>
    </xdr:from>
    <xdr:to>
      <xdr:col>10</xdr:col>
      <xdr:colOff>600075</xdr:colOff>
      <xdr:row>43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381500"/>
          <a:ext cx="250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152400</xdr:rowOff>
    </xdr:from>
    <xdr:to>
      <xdr:col>6</xdr:col>
      <xdr:colOff>828675</xdr:colOff>
      <xdr:row>28</xdr:row>
      <xdr:rowOff>133350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04825" y="1123950"/>
          <a:ext cx="613410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C0C0C0"/>
              </a:solidFill>
            </a:rPr>
            <a:t>Document de travail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47625</xdr:rowOff>
    </xdr:from>
    <xdr:to>
      <xdr:col>5</xdr:col>
      <xdr:colOff>1276350</xdr:colOff>
      <xdr:row>22</xdr:row>
      <xdr:rowOff>28575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952500" y="2228850"/>
          <a:ext cx="3562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C0C0C0"/>
              </a:solidFill>
            </a:rPr>
            <a:t>Document de travail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5</xdr:row>
      <xdr:rowOff>66675</xdr:rowOff>
    </xdr:from>
    <xdr:to>
      <xdr:col>3</xdr:col>
      <xdr:colOff>809625</xdr:colOff>
      <xdr:row>16</xdr:row>
      <xdr:rowOff>76200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1781175" y="838200"/>
          <a:ext cx="35623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C0C0C0"/>
              </a:solidFill>
            </a:rPr>
            <a:t>Document de travail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11</xdr:row>
      <xdr:rowOff>114300</xdr:rowOff>
    </xdr:from>
    <xdr:to>
      <xdr:col>7</xdr:col>
      <xdr:colOff>590550</xdr:colOff>
      <xdr:row>23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1704975"/>
          <a:ext cx="3562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C0C0C0"/>
              </a:solidFill>
            </a:rPr>
            <a:t>Document de travail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0:K20"/>
  <sheetViews>
    <sheetView workbookViewId="0" topLeftCell="A1">
      <selection activeCell="C49" sqref="C49"/>
    </sheetView>
  </sheetViews>
  <sheetFormatPr defaultColWidth="11.421875" defaultRowHeight="12.75"/>
  <cols>
    <col min="1" max="1" width="1.28515625" style="1" customWidth="1"/>
    <col min="2" max="16384" width="11.421875" style="1" customWidth="1"/>
  </cols>
  <sheetData>
    <row r="20" ht="12.75">
      <c r="K20"/>
    </row>
  </sheetData>
  <printOptions/>
  <pageMargins left="0.27" right="0.36" top="0.984251968503937" bottom="0.984251968503937" header="0.5118110236220472" footer="0.5118110236220472"/>
  <pageSetup horizontalDpi="600" verticalDpi="600" orientation="portrait" paperSize="9" scale="80" r:id="rId4"/>
  <drawing r:id="rId3"/>
  <legacyDrawing r:id="rId2"/>
  <oleObjects>
    <oleObject progId="PBrush" shapeId="1237653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K182"/>
  <sheetViews>
    <sheetView workbookViewId="0" topLeftCell="A1">
      <selection activeCell="F43" sqref="F43"/>
    </sheetView>
  </sheetViews>
  <sheetFormatPr defaultColWidth="11.421875" defaultRowHeight="12.75"/>
  <cols>
    <col min="1" max="1" width="2.421875" style="1" customWidth="1"/>
    <col min="2" max="2" width="3.28125" style="5" customWidth="1"/>
    <col min="3" max="4" width="11.421875" style="1" customWidth="1"/>
    <col min="5" max="5" width="45.28125" style="1" customWidth="1"/>
    <col min="6" max="6" width="13.28125" style="5" bestFit="1" customWidth="1"/>
    <col min="7" max="7" width="15.28125" style="1" customWidth="1"/>
    <col min="8" max="8" width="5.00390625" style="1" bestFit="1" customWidth="1"/>
    <col min="9" max="16384" width="11.421875" style="1" customWidth="1"/>
  </cols>
  <sheetData>
    <row r="1" ht="12.75"/>
    <row r="2" spans="2:7" ht="12.75">
      <c r="B2" s="2" t="s">
        <v>0</v>
      </c>
      <c r="C2" s="3"/>
      <c r="D2" s="3"/>
      <c r="E2" s="3"/>
      <c r="F2" s="81" t="s">
        <v>1</v>
      </c>
      <c r="G2" s="81" t="s">
        <v>198</v>
      </c>
    </row>
    <row r="3" spans="3:7" ht="12.75">
      <c r="C3" s="5" t="s">
        <v>2</v>
      </c>
      <c r="F3" s="6">
        <v>55</v>
      </c>
      <c r="G3" s="6">
        <v>55</v>
      </c>
    </row>
    <row r="4" spans="3:7" ht="12.75">
      <c r="C4" s="5" t="s">
        <v>3</v>
      </c>
      <c r="F4" s="6">
        <v>50</v>
      </c>
      <c r="G4" s="6">
        <v>50</v>
      </c>
    </row>
    <row r="5" spans="3:10" ht="12.75">
      <c r="C5" s="5" t="s">
        <v>199</v>
      </c>
      <c r="F5" s="57" t="s">
        <v>224</v>
      </c>
      <c r="G5" s="7">
        <v>159.92</v>
      </c>
      <c r="I5" s="82"/>
      <c r="J5" s="82"/>
    </row>
    <row r="6" spans="3:7" ht="12.75">
      <c r="C6" s="5" t="s">
        <v>200</v>
      </c>
      <c r="F6" s="57" t="s">
        <v>224</v>
      </c>
      <c r="G6" s="7">
        <v>195.25</v>
      </c>
    </row>
    <row r="7" spans="3:11" ht="12.75">
      <c r="C7" s="5" t="s">
        <v>201</v>
      </c>
      <c r="F7" s="57" t="s">
        <v>224</v>
      </c>
      <c r="G7" s="7">
        <v>265.88</v>
      </c>
      <c r="I7" s="82"/>
      <c r="J7" s="82"/>
      <c r="K7" s="82"/>
    </row>
    <row r="8" spans="3:7" ht="12.75">
      <c r="C8" s="5" t="s">
        <v>202</v>
      </c>
      <c r="F8" s="57" t="s">
        <v>224</v>
      </c>
      <c r="G8" s="7">
        <v>125.77</v>
      </c>
    </row>
    <row r="9" spans="3:7" ht="12.75">
      <c r="C9" s="5" t="s">
        <v>4</v>
      </c>
      <c r="F9" s="6">
        <v>35</v>
      </c>
      <c r="G9" s="6">
        <v>35</v>
      </c>
    </row>
    <row r="10" spans="3:7" ht="12.75">
      <c r="C10" s="5" t="s">
        <v>5</v>
      </c>
      <c r="F10" s="6">
        <v>30</v>
      </c>
      <c r="G10" s="6">
        <v>30</v>
      </c>
    </row>
    <row r="11" spans="3:7" ht="12.75">
      <c r="C11" s="5" t="s">
        <v>6</v>
      </c>
      <c r="F11" s="7">
        <v>1.8</v>
      </c>
      <c r="G11" s="7">
        <v>1.8</v>
      </c>
    </row>
    <row r="12" spans="3:7" ht="12.75">
      <c r="C12" s="5" t="s">
        <v>7</v>
      </c>
      <c r="F12" s="7">
        <v>1.1</v>
      </c>
      <c r="G12" s="7">
        <v>1.1</v>
      </c>
    </row>
    <row r="13" spans="3:7" ht="12.75">
      <c r="C13" s="5" t="s">
        <v>8</v>
      </c>
      <c r="F13" s="7">
        <v>10.5</v>
      </c>
      <c r="G13" s="7">
        <v>9.5</v>
      </c>
    </row>
    <row r="14" spans="3:7" ht="12.75">
      <c r="C14" s="5" t="s">
        <v>205</v>
      </c>
      <c r="F14" s="57" t="s">
        <v>224</v>
      </c>
      <c r="G14" s="7">
        <v>5.95</v>
      </c>
    </row>
    <row r="15" spans="3:7" ht="12.75">
      <c r="C15" s="5" t="s">
        <v>204</v>
      </c>
      <c r="F15" s="57" t="s">
        <v>224</v>
      </c>
      <c r="G15" s="7">
        <v>20</v>
      </c>
    </row>
    <row r="16" spans="3:7" ht="12.75">
      <c r="C16" s="5" t="s">
        <v>203</v>
      </c>
      <c r="F16" s="57" t="s">
        <v>224</v>
      </c>
      <c r="G16" s="7">
        <v>65</v>
      </c>
    </row>
    <row r="17" spans="3:7" ht="12.75">
      <c r="C17" s="5" t="s">
        <v>9</v>
      </c>
      <c r="F17" s="7">
        <v>41</v>
      </c>
      <c r="G17" s="7">
        <v>41</v>
      </c>
    </row>
    <row r="18" ht="12.75"/>
    <row r="19" spans="2:7" ht="12.75">
      <c r="B19" s="2" t="s">
        <v>10</v>
      </c>
      <c r="C19" s="3"/>
      <c r="D19" s="3"/>
      <c r="E19" s="3"/>
      <c r="F19" s="4" t="s">
        <v>1</v>
      </c>
      <c r="G19" s="81" t="s">
        <v>198</v>
      </c>
    </row>
    <row r="20" spans="2:7" ht="12.75">
      <c r="B20" s="8" t="s">
        <v>11</v>
      </c>
      <c r="C20" s="5"/>
      <c r="D20" s="9"/>
      <c r="F20" s="10"/>
      <c r="G20" s="10"/>
    </row>
    <row r="21" spans="3:7" ht="12.75">
      <c r="C21" s="5" t="s">
        <v>12</v>
      </c>
      <c r="F21" s="11" t="s">
        <v>13</v>
      </c>
      <c r="G21" s="11" t="s">
        <v>13</v>
      </c>
    </row>
    <row r="22" spans="3:7" ht="12.75">
      <c r="C22" s="5" t="s">
        <v>14</v>
      </c>
      <c r="F22" s="10">
        <v>2450</v>
      </c>
      <c r="G22" s="10">
        <v>1782.4</v>
      </c>
    </row>
    <row r="23" spans="3:7" ht="12.75">
      <c r="C23" s="5" t="s">
        <v>15</v>
      </c>
      <c r="D23" s="9"/>
      <c r="F23" s="10">
        <v>119.8</v>
      </c>
      <c r="G23" s="15">
        <f>1505.23/12</f>
        <v>125.43583333333333</v>
      </c>
    </row>
    <row r="24" spans="3:7" ht="12.75">
      <c r="C24" s="5" t="s">
        <v>16</v>
      </c>
      <c r="D24" s="5"/>
      <c r="F24" s="10">
        <v>73.35</v>
      </c>
      <c r="G24" s="15">
        <f>1000.74/12</f>
        <v>83.395</v>
      </c>
    </row>
    <row r="25" spans="3:7" ht="12.75">
      <c r="C25" s="5" t="s">
        <v>17</v>
      </c>
      <c r="D25" s="5"/>
      <c r="F25" s="10">
        <v>62.52</v>
      </c>
      <c r="G25" s="15">
        <f>809.32/12</f>
        <v>67.44333333333334</v>
      </c>
    </row>
    <row r="26" spans="3:7" ht="12.75">
      <c r="C26" s="5" t="s">
        <v>18</v>
      </c>
      <c r="F26" s="10">
        <v>47.61</v>
      </c>
      <c r="G26" s="15">
        <f>664.14/12</f>
        <v>55.345</v>
      </c>
    </row>
    <row r="27" spans="3:7" ht="12.75">
      <c r="C27" s="5" t="s">
        <v>19</v>
      </c>
      <c r="F27" s="10">
        <v>47.61</v>
      </c>
      <c r="G27" s="15">
        <f>664.14/12</f>
        <v>55.345</v>
      </c>
    </row>
    <row r="28" spans="3:7" ht="12.75">
      <c r="C28" s="5" t="s">
        <v>20</v>
      </c>
      <c r="F28" s="10">
        <v>334.6</v>
      </c>
      <c r="G28" s="15">
        <v>459.7</v>
      </c>
    </row>
    <row r="29" spans="3:7" ht="12.75">
      <c r="C29" s="5"/>
      <c r="F29" s="10"/>
      <c r="G29" s="10"/>
    </row>
    <row r="30" spans="2:6" ht="12.75">
      <c r="B30" s="8" t="s">
        <v>21</v>
      </c>
      <c r="C30" s="5"/>
      <c r="F30" s="10"/>
    </row>
    <row r="31" spans="2:7" ht="12.75">
      <c r="B31" s="8"/>
      <c r="C31" s="5" t="s">
        <v>22</v>
      </c>
      <c r="F31" s="10">
        <v>2405.16</v>
      </c>
      <c r="G31" s="10">
        <v>1474.85</v>
      </c>
    </row>
    <row r="32" spans="2:7" ht="12.75">
      <c r="B32" s="8"/>
      <c r="C32" s="5" t="s">
        <v>23</v>
      </c>
      <c r="F32" s="10">
        <v>3198.48</v>
      </c>
      <c r="G32" s="10">
        <v>2154.85</v>
      </c>
    </row>
    <row r="33" spans="2:7" ht="12.75">
      <c r="B33" s="8"/>
      <c r="C33" s="5" t="s">
        <v>24</v>
      </c>
      <c r="F33" s="10">
        <v>100</v>
      </c>
      <c r="G33" s="10">
        <v>100</v>
      </c>
    </row>
    <row r="34" spans="2:7" ht="12.75">
      <c r="B34" s="8"/>
      <c r="C34" s="5"/>
      <c r="F34" s="10"/>
      <c r="G34" s="10"/>
    </row>
    <row r="35" spans="2:6" ht="12.75">
      <c r="B35" s="8" t="s">
        <v>25</v>
      </c>
      <c r="C35" s="5"/>
      <c r="D35" s="9"/>
      <c r="F35" s="12"/>
    </row>
    <row r="36" spans="3:7" ht="12.75">
      <c r="C36" s="5" t="s">
        <v>26</v>
      </c>
      <c r="D36" s="9"/>
      <c r="F36" s="10">
        <v>104.41</v>
      </c>
      <c r="G36" s="10">
        <v>71.75</v>
      </c>
    </row>
    <row r="37" spans="3:7" ht="12.75">
      <c r="C37" s="5" t="s">
        <v>27</v>
      </c>
      <c r="D37" s="9"/>
      <c r="F37" s="10">
        <v>170</v>
      </c>
      <c r="G37" s="10">
        <v>116.94</v>
      </c>
    </row>
    <row r="38" spans="3:7" ht="12.75">
      <c r="C38" s="5" t="s">
        <v>28</v>
      </c>
      <c r="D38" s="9"/>
      <c r="F38" s="10">
        <v>180</v>
      </c>
      <c r="G38" s="10">
        <v>116.94</v>
      </c>
    </row>
    <row r="39" spans="3:7" ht="12.75">
      <c r="C39" s="5" t="s">
        <v>29</v>
      </c>
      <c r="D39" s="9"/>
      <c r="F39" s="10">
        <v>184</v>
      </c>
      <c r="G39" s="10">
        <v>116.94</v>
      </c>
    </row>
    <row r="40" spans="3:7" ht="12.75">
      <c r="C40" s="5" t="s">
        <v>30</v>
      </c>
      <c r="D40" s="9"/>
      <c r="F40" s="10">
        <v>180</v>
      </c>
      <c r="G40" s="10">
        <v>116.94</v>
      </c>
    </row>
    <row r="41" spans="3:7" ht="12.75">
      <c r="C41" s="5" t="s">
        <v>31</v>
      </c>
      <c r="D41" s="9"/>
      <c r="F41" s="10">
        <v>190</v>
      </c>
      <c r="G41" s="10">
        <v>116.94</v>
      </c>
    </row>
    <row r="42" spans="3:7" ht="12.75">
      <c r="C42" s="5" t="s">
        <v>32</v>
      </c>
      <c r="D42" s="9"/>
      <c r="F42" s="10">
        <v>194</v>
      </c>
      <c r="G42" s="10">
        <v>116.94</v>
      </c>
    </row>
    <row r="43" spans="3:7" ht="12.75">
      <c r="C43" s="5" t="s">
        <v>33</v>
      </c>
      <c r="D43" s="9"/>
      <c r="F43" s="10">
        <v>184</v>
      </c>
      <c r="G43" s="10">
        <v>116.94</v>
      </c>
    </row>
    <row r="44" spans="3:7" ht="12.75">
      <c r="C44" s="5" t="s">
        <v>34</v>
      </c>
      <c r="D44" s="9"/>
      <c r="F44" s="10">
        <v>190</v>
      </c>
      <c r="G44" s="10">
        <v>116.94</v>
      </c>
    </row>
    <row r="45" spans="3:7" ht="12.75">
      <c r="C45" s="5"/>
      <c r="D45" s="9"/>
      <c r="F45" s="13"/>
      <c r="G45" s="10"/>
    </row>
    <row r="46" spans="2:6" ht="12.75">
      <c r="B46" s="8" t="s">
        <v>35</v>
      </c>
      <c r="C46" s="5"/>
      <c r="D46" s="9"/>
      <c r="F46" s="12"/>
    </row>
    <row r="47" spans="2:7" ht="12.75">
      <c r="B47" s="8"/>
      <c r="C47" s="5" t="s">
        <v>26</v>
      </c>
      <c r="D47" s="9"/>
      <c r="F47" s="10">
        <v>0</v>
      </c>
      <c r="G47" s="10">
        <v>0</v>
      </c>
    </row>
    <row r="48" spans="3:7" ht="12.75">
      <c r="C48" s="5" t="s">
        <v>27</v>
      </c>
      <c r="D48" s="9"/>
      <c r="F48" s="10">
        <v>441</v>
      </c>
      <c r="G48" s="10">
        <v>0</v>
      </c>
    </row>
    <row r="49" spans="3:7" ht="12.75">
      <c r="C49" s="5" t="s">
        <v>28</v>
      </c>
      <c r="D49" s="9"/>
      <c r="F49" s="10">
        <v>551</v>
      </c>
      <c r="G49" s="10">
        <v>0</v>
      </c>
    </row>
    <row r="50" spans="3:7" ht="12.75">
      <c r="C50" s="5" t="s">
        <v>29</v>
      </c>
      <c r="D50" s="9"/>
      <c r="F50" s="10">
        <v>588</v>
      </c>
      <c r="G50" s="10">
        <v>0</v>
      </c>
    </row>
    <row r="51" spans="3:7" ht="12.75">
      <c r="C51" s="5" t="s">
        <v>30</v>
      </c>
      <c r="D51" s="9"/>
      <c r="F51" s="10">
        <v>551</v>
      </c>
      <c r="G51" s="10">
        <v>0</v>
      </c>
    </row>
    <row r="52" spans="3:7" ht="12.75">
      <c r="C52" s="5" t="s">
        <v>31</v>
      </c>
      <c r="D52" s="9"/>
      <c r="F52" s="10">
        <v>662</v>
      </c>
      <c r="G52" s="10">
        <v>0</v>
      </c>
    </row>
    <row r="53" spans="3:7" ht="12.75">
      <c r="C53" s="5" t="s">
        <v>32</v>
      </c>
      <c r="D53" s="9"/>
      <c r="F53" s="10">
        <v>772</v>
      </c>
      <c r="G53" s="10">
        <v>0</v>
      </c>
    </row>
    <row r="54" spans="3:7" ht="12.75">
      <c r="C54" s="5" t="s">
        <v>33</v>
      </c>
      <c r="D54" s="9"/>
      <c r="F54" s="10">
        <v>588</v>
      </c>
      <c r="G54" s="10">
        <v>0</v>
      </c>
    </row>
    <row r="55" spans="3:7" ht="12.75">
      <c r="C55" s="5" t="s">
        <v>34</v>
      </c>
      <c r="D55" s="9"/>
      <c r="F55" s="10">
        <v>662</v>
      </c>
      <c r="G55" s="10">
        <v>0</v>
      </c>
    </row>
    <row r="56" spans="3:7" ht="12.75">
      <c r="C56" s="5"/>
      <c r="D56" s="9"/>
      <c r="F56" s="13"/>
      <c r="G56" s="10"/>
    </row>
    <row r="57" spans="2:7" ht="12.75">
      <c r="B57" s="8" t="s">
        <v>36</v>
      </c>
      <c r="D57" s="8"/>
      <c r="F57" s="13"/>
      <c r="G57" s="10"/>
    </row>
    <row r="58" spans="2:7" ht="12.75">
      <c r="B58" s="8" t="s">
        <v>37</v>
      </c>
      <c r="C58" s="8"/>
      <c r="D58" s="8"/>
      <c r="F58" s="13"/>
      <c r="G58" s="10"/>
    </row>
    <row r="59" spans="3:7" ht="12.75">
      <c r="C59" s="5" t="s">
        <v>38</v>
      </c>
      <c r="F59" s="14">
        <f>(F47/Calculs!$F$18/12+F36)</f>
        <v>104.41</v>
      </c>
      <c r="G59" s="14">
        <f>(G47/Calculs!$F$18/12+G36)</f>
        <v>71.75</v>
      </c>
    </row>
    <row r="60" spans="3:7" ht="12.75">
      <c r="C60" s="5" t="s">
        <v>39</v>
      </c>
      <c r="F60" s="14">
        <f>(F48/Calculs!$F$18/12+F37)</f>
        <v>179.33269868441425</v>
      </c>
      <c r="G60" s="14">
        <f>(G48/Calculs!$F$18/12+G37)</f>
        <v>116.94</v>
      </c>
    </row>
    <row r="61" spans="3:7" ht="12.75">
      <c r="C61" s="5" t="s">
        <v>40</v>
      </c>
      <c r="F61" s="14">
        <f>(F49/Calculs!$F$18/12+F38)</f>
        <v>191.6605827100051</v>
      </c>
      <c r="G61" s="14">
        <f>(G49/Calculs!$F$18/12+G38)</f>
        <v>116.94</v>
      </c>
    </row>
    <row r="62" spans="3:7" ht="12.75">
      <c r="C62" s="5" t="s">
        <v>41</v>
      </c>
      <c r="F62" s="14">
        <f>(F50/Calculs!$F$18/12+F39)</f>
        <v>196.44359824588565</v>
      </c>
      <c r="G62" s="14">
        <f>(G50/Calculs!$F$18/12+G39)</f>
        <v>116.94</v>
      </c>
    </row>
    <row r="63" spans="3:7" ht="12.75">
      <c r="C63" s="5" t="s">
        <v>42</v>
      </c>
      <c r="F63" s="14">
        <f>(F51/Calculs!$F$18/12+F40)</f>
        <v>191.6605827100051</v>
      </c>
      <c r="G63" s="14">
        <f>(G51/Calculs!$F$18/12+G40)</f>
        <v>116.94</v>
      </c>
    </row>
    <row r="64" spans="3:7" ht="12.75">
      <c r="C64" s="5" t="s">
        <v>43</v>
      </c>
      <c r="F64" s="14">
        <f>(F52/Calculs!$F$18/12+F41)</f>
        <v>204.00962931764678</v>
      </c>
      <c r="G64" s="14">
        <f>(G52/Calculs!$F$18/12+G41)</f>
        <v>116.94</v>
      </c>
    </row>
    <row r="65" spans="3:7" ht="12.75">
      <c r="C65" s="5" t="s">
        <v>44</v>
      </c>
      <c r="F65" s="14">
        <f>(F53/Calculs!$F$18/12+F42)</f>
        <v>210.33751334323762</v>
      </c>
      <c r="G65" s="14">
        <f>(G53/Calculs!$F$18/12+G42)</f>
        <v>116.94</v>
      </c>
    </row>
    <row r="66" spans="3:7" ht="12.75">
      <c r="C66" s="5" t="s">
        <v>45</v>
      </c>
      <c r="F66" s="14">
        <f>(F54/Calculs!$F$18/12+F43)</f>
        <v>196.44359824588565</v>
      </c>
      <c r="G66" s="14">
        <f>(G54/Calculs!$F$18/12+G43)</f>
        <v>116.94</v>
      </c>
    </row>
    <row r="67" spans="3:7" ht="12.75">
      <c r="C67" s="5" t="s">
        <v>46</v>
      </c>
      <c r="F67" s="14">
        <f>(F55/Calculs!$F$18/12+F44)</f>
        <v>204.00962931764678</v>
      </c>
      <c r="G67" s="14">
        <f>(G55/Calculs!$F$18/12+G44)</f>
        <v>116.94</v>
      </c>
    </row>
    <row r="68" spans="3:7" ht="12.75">
      <c r="C68" s="5"/>
      <c r="D68" s="5"/>
      <c r="F68" s="13"/>
      <c r="G68" s="10"/>
    </row>
    <row r="69" spans="2:7" ht="12.75">
      <c r="B69" s="8" t="s">
        <v>47</v>
      </c>
      <c r="F69" s="13"/>
      <c r="G69" s="10"/>
    </row>
    <row r="70" spans="2:6" ht="12.75">
      <c r="B70" s="8" t="s">
        <v>48</v>
      </c>
      <c r="F70" s="1"/>
    </row>
    <row r="71" spans="3:7" ht="12.75">
      <c r="C71" s="5" t="s">
        <v>38</v>
      </c>
      <c r="F71" s="15">
        <f>F59/2</f>
        <v>52.205</v>
      </c>
      <c r="G71" s="15">
        <f>G59/2</f>
        <v>35.875</v>
      </c>
    </row>
    <row r="72" spans="3:7" ht="12.75">
      <c r="C72" s="5" t="s">
        <v>39</v>
      </c>
      <c r="F72" s="15">
        <f aca="true" t="shared" si="0" ref="F72:F79">F60/2</f>
        <v>89.66634934220713</v>
      </c>
      <c r="G72" s="15">
        <f aca="true" t="shared" si="1" ref="G72:G79">G60/2</f>
        <v>58.47</v>
      </c>
    </row>
    <row r="73" spans="3:7" ht="12.75">
      <c r="C73" s="5" t="s">
        <v>40</v>
      </c>
      <c r="F73" s="15">
        <f t="shared" si="0"/>
        <v>95.83029135500254</v>
      </c>
      <c r="G73" s="15">
        <f t="shared" si="1"/>
        <v>58.47</v>
      </c>
    </row>
    <row r="74" spans="3:7" ht="12.75">
      <c r="C74" s="5" t="s">
        <v>41</v>
      </c>
      <c r="F74" s="15">
        <f t="shared" si="0"/>
        <v>98.22179912294283</v>
      </c>
      <c r="G74" s="15">
        <f t="shared" si="1"/>
        <v>58.47</v>
      </c>
    </row>
    <row r="75" spans="3:7" ht="12.75">
      <c r="C75" s="5" t="s">
        <v>42</v>
      </c>
      <c r="F75" s="15">
        <f t="shared" si="0"/>
        <v>95.83029135500254</v>
      </c>
      <c r="G75" s="15">
        <f t="shared" si="1"/>
        <v>58.47</v>
      </c>
    </row>
    <row r="76" spans="3:7" ht="12.75">
      <c r="C76" s="5" t="s">
        <v>43</v>
      </c>
      <c r="F76" s="15">
        <f t="shared" si="0"/>
        <v>102.00481465882339</v>
      </c>
      <c r="G76" s="15">
        <f t="shared" si="1"/>
        <v>58.47</v>
      </c>
    </row>
    <row r="77" spans="3:7" ht="12.75">
      <c r="C77" s="5" t="s">
        <v>44</v>
      </c>
      <c r="F77" s="15">
        <f t="shared" si="0"/>
        <v>105.16875667161881</v>
      </c>
      <c r="G77" s="15">
        <f t="shared" si="1"/>
        <v>58.47</v>
      </c>
    </row>
    <row r="78" spans="3:7" ht="12.75">
      <c r="C78" s="5" t="s">
        <v>45</v>
      </c>
      <c r="F78" s="15">
        <f t="shared" si="0"/>
        <v>98.22179912294283</v>
      </c>
      <c r="G78" s="15">
        <f t="shared" si="1"/>
        <v>58.47</v>
      </c>
    </row>
    <row r="79" spans="3:7" ht="12.75">
      <c r="C79" s="5" t="s">
        <v>46</v>
      </c>
      <c r="F79" s="15">
        <f t="shared" si="0"/>
        <v>102.00481465882339</v>
      </c>
      <c r="G79" s="15">
        <f t="shared" si="1"/>
        <v>58.47</v>
      </c>
    </row>
    <row r="80" spans="3:7" ht="12.75">
      <c r="C80" s="5"/>
      <c r="F80" s="15"/>
      <c r="G80" s="15"/>
    </row>
    <row r="81" spans="2:6" ht="12.75">
      <c r="B81" s="16" t="s">
        <v>49</v>
      </c>
      <c r="F81" s="1"/>
    </row>
    <row r="82" spans="3:7" ht="12.75">
      <c r="C82" s="5" t="s">
        <v>38</v>
      </c>
      <c r="F82" s="6">
        <f>F59/128</f>
        <v>0.815703125</v>
      </c>
      <c r="G82" s="6">
        <f>G59/128</f>
        <v>0.560546875</v>
      </c>
    </row>
    <row r="83" spans="3:7" ht="12.75">
      <c r="C83" s="5" t="s">
        <v>39</v>
      </c>
      <c r="F83" s="6">
        <f aca="true" t="shared" si="2" ref="F83:F90">F60/128</f>
        <v>1.4010367084719864</v>
      </c>
      <c r="G83" s="6">
        <f aca="true" t="shared" si="3" ref="G83:G90">G60/128</f>
        <v>0.91359375</v>
      </c>
    </row>
    <row r="84" spans="3:7" ht="12.75">
      <c r="C84" s="5" t="s">
        <v>40</v>
      </c>
      <c r="F84" s="6">
        <f t="shared" si="2"/>
        <v>1.4973483024219147</v>
      </c>
      <c r="G84" s="6">
        <f t="shared" si="3"/>
        <v>0.91359375</v>
      </c>
    </row>
    <row r="85" spans="3:7" ht="12.75">
      <c r="C85" s="5" t="s">
        <v>41</v>
      </c>
      <c r="F85" s="6">
        <f t="shared" si="2"/>
        <v>1.5347156112959817</v>
      </c>
      <c r="G85" s="6">
        <f t="shared" si="3"/>
        <v>0.91359375</v>
      </c>
    </row>
    <row r="86" spans="3:7" ht="12.75">
      <c r="C86" s="5" t="s">
        <v>42</v>
      </c>
      <c r="F86" s="6">
        <f t="shared" si="2"/>
        <v>1.4973483024219147</v>
      </c>
      <c r="G86" s="6">
        <f t="shared" si="3"/>
        <v>0.91359375</v>
      </c>
    </row>
    <row r="87" spans="3:7" ht="12.75">
      <c r="C87" s="5" t="s">
        <v>43</v>
      </c>
      <c r="F87" s="6">
        <f t="shared" si="2"/>
        <v>1.5938252290441155</v>
      </c>
      <c r="G87" s="6">
        <f>G64/128</f>
        <v>0.91359375</v>
      </c>
    </row>
    <row r="88" spans="3:7" ht="12.75">
      <c r="C88" s="5" t="s">
        <v>44</v>
      </c>
      <c r="F88" s="6">
        <f t="shared" si="2"/>
        <v>1.6432618229940439</v>
      </c>
      <c r="G88" s="6">
        <f t="shared" si="3"/>
        <v>0.91359375</v>
      </c>
    </row>
    <row r="89" spans="3:7" ht="12.75">
      <c r="C89" s="5" t="s">
        <v>45</v>
      </c>
      <c r="F89" s="6">
        <f t="shared" si="2"/>
        <v>1.5347156112959817</v>
      </c>
      <c r="G89" s="6">
        <f t="shared" si="3"/>
        <v>0.91359375</v>
      </c>
    </row>
    <row r="90" spans="3:7" ht="12.75">
      <c r="C90" s="5" t="s">
        <v>46</v>
      </c>
      <c r="D90" s="5"/>
      <c r="F90" s="6">
        <f t="shared" si="2"/>
        <v>1.5938252290441155</v>
      </c>
      <c r="G90" s="6">
        <f t="shared" si="3"/>
        <v>0.91359375</v>
      </c>
    </row>
    <row r="91" spans="3:7" ht="12.75">
      <c r="C91" s="5"/>
      <c r="D91" s="9"/>
      <c r="F91" s="13"/>
      <c r="G91" s="10"/>
    </row>
    <row r="92" spans="3:7" ht="12.75">
      <c r="C92" s="5"/>
      <c r="D92" s="9"/>
      <c r="F92" s="13"/>
      <c r="G92" s="10"/>
    </row>
    <row r="93" ht="12.75"/>
    <row r="94" spans="2:7" ht="12.75">
      <c r="B94" s="2" t="s">
        <v>50</v>
      </c>
      <c r="C94" s="3"/>
      <c r="D94" s="3"/>
      <c r="E94" s="3"/>
      <c r="F94" s="4" t="s">
        <v>1</v>
      </c>
      <c r="G94" s="81" t="s">
        <v>198</v>
      </c>
    </row>
    <row r="95" spans="2:6" ht="12.75">
      <c r="B95" s="8" t="s">
        <v>51</v>
      </c>
      <c r="C95" s="17"/>
      <c r="D95" s="17"/>
      <c r="E95" s="17"/>
      <c r="F95" s="18"/>
    </row>
    <row r="96" spans="3:7" ht="12.75">
      <c r="C96" s="5" t="s">
        <v>52</v>
      </c>
      <c r="D96" s="9"/>
      <c r="F96" s="10">
        <v>1500</v>
      </c>
      <c r="G96" s="10">
        <v>1500</v>
      </c>
    </row>
    <row r="97" spans="3:7" ht="12.75">
      <c r="C97" s="5" t="s">
        <v>53</v>
      </c>
      <c r="D97" s="9"/>
      <c r="F97" s="10">
        <v>0</v>
      </c>
      <c r="G97" s="10">
        <v>0</v>
      </c>
    </row>
    <row r="98" spans="3:7" ht="12.75">
      <c r="C98" s="5"/>
      <c r="D98" s="9"/>
      <c r="F98" s="10"/>
      <c r="G98" s="10"/>
    </row>
    <row r="99" spans="2:6" ht="12.75">
      <c r="B99" s="8" t="s">
        <v>11</v>
      </c>
      <c r="C99" s="5"/>
      <c r="D99" s="9"/>
      <c r="F99" s="10"/>
    </row>
    <row r="100" spans="3:7" ht="12.75">
      <c r="C100" s="5" t="s">
        <v>54</v>
      </c>
      <c r="F100" s="10">
        <v>4200</v>
      </c>
      <c r="G100" s="10">
        <v>2200</v>
      </c>
    </row>
    <row r="101" spans="3:7" ht="12.75">
      <c r="C101" s="5" t="s">
        <v>14</v>
      </c>
      <c r="F101" s="10">
        <v>2450</v>
      </c>
      <c r="G101" s="10">
        <v>1782.4</v>
      </c>
    </row>
    <row r="102" spans="3:7" ht="12.75">
      <c r="C102" s="5" t="s">
        <v>15</v>
      </c>
      <c r="D102" s="9"/>
      <c r="F102" s="10">
        <v>419.4</v>
      </c>
      <c r="G102" s="10">
        <v>249.42</v>
      </c>
    </row>
    <row r="103" spans="3:7" ht="12.75">
      <c r="C103" s="5" t="s">
        <v>16</v>
      </c>
      <c r="D103" s="9"/>
      <c r="F103" s="10">
        <v>370.41</v>
      </c>
      <c r="G103" s="10">
        <v>205.72</v>
      </c>
    </row>
    <row r="104" spans="3:7" ht="12.75">
      <c r="C104" s="5" t="s">
        <v>17</v>
      </c>
      <c r="D104" s="9"/>
      <c r="F104" s="10">
        <v>358.98</v>
      </c>
      <c r="G104" s="10">
        <v>192.05</v>
      </c>
    </row>
    <row r="105" spans="3:7" ht="12.75">
      <c r="C105" s="5" t="s">
        <v>18</v>
      </c>
      <c r="D105" s="9"/>
      <c r="F105" s="10">
        <v>343.26</v>
      </c>
      <c r="G105" s="10">
        <v>181.68</v>
      </c>
    </row>
    <row r="106" spans="3:7" ht="12.75">
      <c r="C106" s="5" t="s">
        <v>55</v>
      </c>
      <c r="D106" s="5"/>
      <c r="F106" s="10">
        <v>343.26</v>
      </c>
      <c r="G106" s="10">
        <v>181.68</v>
      </c>
    </row>
    <row r="107" spans="3:7" ht="12.75">
      <c r="C107" s="5"/>
      <c r="D107" s="5"/>
      <c r="F107" s="10"/>
      <c r="G107" s="10"/>
    </row>
    <row r="108" spans="2:6" ht="12.75">
      <c r="B108" s="8" t="s">
        <v>21</v>
      </c>
      <c r="C108" s="5"/>
      <c r="F108" s="10"/>
    </row>
    <row r="109" spans="2:6" ht="12.75">
      <c r="B109" s="8"/>
      <c r="C109" s="5" t="s">
        <v>22</v>
      </c>
      <c r="F109" s="10">
        <v>0</v>
      </c>
    </row>
    <row r="110" spans="2:6" ht="12.75">
      <c r="B110" s="8"/>
      <c r="C110" s="5" t="s">
        <v>23</v>
      </c>
      <c r="F110" s="10">
        <v>0</v>
      </c>
    </row>
    <row r="111" spans="2:9" ht="12.75">
      <c r="B111" s="8"/>
      <c r="C111" s="5" t="s">
        <v>56</v>
      </c>
      <c r="F111" s="10">
        <f>1917/12</f>
        <v>159.75</v>
      </c>
      <c r="G111" s="10">
        <f>1612.89/12</f>
        <v>134.4075</v>
      </c>
      <c r="I111" s="10"/>
    </row>
    <row r="112" spans="2:9" ht="12.75">
      <c r="B112" s="8"/>
      <c r="C112" s="5" t="s">
        <v>57</v>
      </c>
      <c r="F112" s="10">
        <f>3085/12</f>
        <v>257.0833333333333</v>
      </c>
      <c r="G112" s="10">
        <f>2996.04/12</f>
        <v>249.67</v>
      </c>
      <c r="I112" s="10"/>
    </row>
    <row r="113" spans="2:9" ht="12.75">
      <c r="B113" s="8"/>
      <c r="C113" s="5" t="s">
        <v>58</v>
      </c>
      <c r="F113" s="10">
        <f>3834/12</f>
        <v>319.5</v>
      </c>
      <c r="G113" s="10">
        <f>G111*2</f>
        <v>268.815</v>
      </c>
      <c r="I113" s="10"/>
    </row>
    <row r="114" spans="2:9" ht="12.75">
      <c r="B114" s="8"/>
      <c r="C114" s="5" t="s">
        <v>59</v>
      </c>
      <c r="F114" s="10">
        <f>6170/12</f>
        <v>514.1666666666666</v>
      </c>
      <c r="G114" s="10">
        <f>G112*2</f>
        <v>499.34</v>
      </c>
      <c r="I114" s="10"/>
    </row>
    <row r="115" spans="2:9" ht="12.75">
      <c r="B115" s="8"/>
      <c r="C115" s="5" t="s">
        <v>60</v>
      </c>
      <c r="F115" s="10">
        <f>1610/12</f>
        <v>134.16666666666666</v>
      </c>
      <c r="G115" s="10">
        <f>1120.34/12</f>
        <v>93.36166666666666</v>
      </c>
      <c r="I115" s="10"/>
    </row>
    <row r="116" spans="2:9" ht="12.75">
      <c r="B116" s="8"/>
      <c r="C116" s="5" t="s">
        <v>61</v>
      </c>
      <c r="F116" s="10">
        <f>2397/12</f>
        <v>199.75</v>
      </c>
      <c r="G116" s="10">
        <f>1401.39/12</f>
        <v>116.78250000000001</v>
      </c>
      <c r="I116" s="10"/>
    </row>
    <row r="117" spans="2:7" ht="12.75">
      <c r="B117" s="8"/>
      <c r="C117" s="5" t="s">
        <v>24</v>
      </c>
      <c r="D117" s="5"/>
      <c r="F117" s="10">
        <v>100</v>
      </c>
      <c r="G117" s="10">
        <v>100</v>
      </c>
    </row>
    <row r="118" spans="2:6" ht="12.75">
      <c r="B118" s="8"/>
      <c r="C118" s="5"/>
      <c r="D118" s="5"/>
      <c r="F118" s="10"/>
    </row>
    <row r="119" spans="2:6" ht="12.75">
      <c r="B119" s="8" t="s">
        <v>62</v>
      </c>
      <c r="C119" s="5"/>
      <c r="D119" s="9"/>
      <c r="F119" s="12"/>
    </row>
    <row r="120" spans="3:7" ht="12.75">
      <c r="C120" s="5" t="s">
        <v>26</v>
      </c>
      <c r="D120" s="9"/>
      <c r="F120" s="10">
        <v>78.05</v>
      </c>
      <c r="G120" s="10">
        <v>57.22</v>
      </c>
    </row>
    <row r="121" spans="3:7" ht="12.75">
      <c r="C121" s="5" t="s">
        <v>27</v>
      </c>
      <c r="D121" s="9"/>
      <c r="F121" s="10">
        <v>170</v>
      </c>
      <c r="G121" s="10">
        <v>102.42</v>
      </c>
    </row>
    <row r="122" spans="3:7" ht="12.75">
      <c r="C122" s="5" t="s">
        <v>28</v>
      </c>
      <c r="D122" s="9"/>
      <c r="F122" s="10">
        <v>180</v>
      </c>
      <c r="G122" s="10">
        <v>102.42</v>
      </c>
    </row>
    <row r="123" spans="3:7" ht="12.75">
      <c r="C123" s="5" t="s">
        <v>29</v>
      </c>
      <c r="D123" s="9"/>
      <c r="F123" s="10">
        <v>184</v>
      </c>
      <c r="G123" s="10">
        <v>102.42</v>
      </c>
    </row>
    <row r="124" spans="3:7" ht="12.75">
      <c r="C124" s="5" t="s">
        <v>30</v>
      </c>
      <c r="D124" s="9"/>
      <c r="F124" s="10">
        <v>180</v>
      </c>
      <c r="G124" s="10">
        <v>102.42</v>
      </c>
    </row>
    <row r="125" spans="3:7" ht="12.75">
      <c r="C125" s="5" t="s">
        <v>31</v>
      </c>
      <c r="D125" s="9"/>
      <c r="F125" s="10">
        <v>190</v>
      </c>
      <c r="G125" s="10">
        <v>102.42</v>
      </c>
    </row>
    <row r="126" spans="3:7" ht="12.75">
      <c r="C126" s="5" t="s">
        <v>32</v>
      </c>
      <c r="D126" s="9"/>
      <c r="F126" s="10">
        <v>194</v>
      </c>
      <c r="G126" s="10">
        <v>102.42</v>
      </c>
    </row>
    <row r="127" spans="3:7" ht="12.75">
      <c r="C127" s="5" t="s">
        <v>33</v>
      </c>
      <c r="D127" s="9"/>
      <c r="F127" s="10">
        <v>184</v>
      </c>
      <c r="G127" s="10">
        <v>102.42</v>
      </c>
    </row>
    <row r="128" spans="3:7" ht="12.75">
      <c r="C128" s="5" t="s">
        <v>34</v>
      </c>
      <c r="D128" s="9"/>
      <c r="F128" s="10">
        <v>190</v>
      </c>
      <c r="G128" s="10">
        <v>102.42</v>
      </c>
    </row>
    <row r="129" spans="3:7" ht="12.75">
      <c r="C129" s="5"/>
      <c r="D129" s="9"/>
      <c r="F129" s="13"/>
      <c r="G129" s="10"/>
    </row>
    <row r="130" spans="2:6" ht="12.75">
      <c r="B130" s="8" t="s">
        <v>63</v>
      </c>
      <c r="C130" s="5"/>
      <c r="D130" s="9"/>
      <c r="F130" s="12"/>
    </row>
    <row r="131" spans="2:7" ht="12.75">
      <c r="B131" s="8"/>
      <c r="C131" s="5" t="s">
        <v>26</v>
      </c>
      <c r="D131" s="9"/>
      <c r="F131" s="10">
        <v>0</v>
      </c>
      <c r="G131" s="10">
        <v>0</v>
      </c>
    </row>
    <row r="132" spans="3:7" ht="12.75">
      <c r="C132" s="5" t="s">
        <v>27</v>
      </c>
      <c r="D132" s="9"/>
      <c r="F132" s="10">
        <v>441</v>
      </c>
      <c r="G132" s="10">
        <v>0</v>
      </c>
    </row>
    <row r="133" spans="3:7" ht="12.75">
      <c r="C133" s="5" t="s">
        <v>28</v>
      </c>
      <c r="D133" s="9"/>
      <c r="F133" s="10">
        <v>551</v>
      </c>
      <c r="G133" s="10">
        <v>0</v>
      </c>
    </row>
    <row r="134" spans="3:7" ht="12.75">
      <c r="C134" s="5" t="s">
        <v>29</v>
      </c>
      <c r="D134" s="9"/>
      <c r="F134" s="10">
        <v>588</v>
      </c>
      <c r="G134" s="10">
        <v>0</v>
      </c>
    </row>
    <row r="135" spans="3:7" ht="12.75">
      <c r="C135" s="5" t="s">
        <v>30</v>
      </c>
      <c r="D135" s="9"/>
      <c r="F135" s="10">
        <v>551</v>
      </c>
      <c r="G135" s="10">
        <v>0</v>
      </c>
    </row>
    <row r="136" spans="3:7" ht="12.75">
      <c r="C136" s="5" t="s">
        <v>31</v>
      </c>
      <c r="D136" s="9"/>
      <c r="F136" s="10">
        <v>662</v>
      </c>
      <c r="G136" s="10">
        <v>0</v>
      </c>
    </row>
    <row r="137" spans="3:7" ht="12.75">
      <c r="C137" s="5" t="s">
        <v>32</v>
      </c>
      <c r="D137" s="9"/>
      <c r="F137" s="10">
        <v>772</v>
      </c>
      <c r="G137" s="10">
        <v>0</v>
      </c>
    </row>
    <row r="138" spans="3:7" ht="12.75">
      <c r="C138" s="5" t="s">
        <v>33</v>
      </c>
      <c r="D138" s="9"/>
      <c r="F138" s="10">
        <v>588</v>
      </c>
      <c r="G138" s="10">
        <v>0</v>
      </c>
    </row>
    <row r="139" spans="3:7" ht="12.75">
      <c r="C139" s="5" t="s">
        <v>34</v>
      </c>
      <c r="D139" s="9"/>
      <c r="F139" s="10">
        <v>662</v>
      </c>
      <c r="G139" s="10">
        <v>0</v>
      </c>
    </row>
    <row r="140" spans="3:7" ht="12.75">
      <c r="C140" s="5"/>
      <c r="D140" s="9"/>
      <c r="F140" s="13"/>
      <c r="G140" s="10"/>
    </row>
    <row r="141" spans="2:7" ht="12.75">
      <c r="B141" s="8" t="s">
        <v>36</v>
      </c>
      <c r="D141" s="8"/>
      <c r="F141" s="13"/>
      <c r="G141" s="10"/>
    </row>
    <row r="142" spans="2:7" ht="12.75">
      <c r="B142" s="8" t="s">
        <v>64</v>
      </c>
      <c r="C142" s="8"/>
      <c r="D142" s="8"/>
      <c r="F142" s="13"/>
      <c r="G142" s="10"/>
    </row>
    <row r="143" spans="3:7" ht="12.75">
      <c r="C143" s="5" t="s">
        <v>38</v>
      </c>
      <c r="F143" s="14">
        <f>(F131/Calculs!$F$18/12+F120)</f>
        <v>78.05</v>
      </c>
      <c r="G143" s="14">
        <f>(G131/Calculs!$F$18/12+G120)</f>
        <v>57.22</v>
      </c>
    </row>
    <row r="144" spans="3:7" ht="12.75">
      <c r="C144" s="5" t="s">
        <v>39</v>
      </c>
      <c r="F144" s="14">
        <f>(F132/Calculs!$F$18/12+F121)</f>
        <v>179.33269868441425</v>
      </c>
      <c r="G144" s="14">
        <f>(G132/Calculs!$F$18/12+G121)</f>
        <v>102.42</v>
      </c>
    </row>
    <row r="145" spans="3:7" ht="12.75">
      <c r="C145" s="5" t="s">
        <v>40</v>
      </c>
      <c r="F145" s="14">
        <f>(F133/Calculs!$F$18/12+F122)</f>
        <v>191.6605827100051</v>
      </c>
      <c r="G145" s="14">
        <f>(G133/Calculs!$F$18/12+G122)</f>
        <v>102.42</v>
      </c>
    </row>
    <row r="146" spans="3:7" ht="12.75">
      <c r="C146" s="5" t="s">
        <v>41</v>
      </c>
      <c r="F146" s="14">
        <f>(F134/Calculs!$F$18/12+F123)</f>
        <v>196.44359824588565</v>
      </c>
      <c r="G146" s="14">
        <f>(G134/Calculs!$F$18/12+G123)</f>
        <v>102.42</v>
      </c>
    </row>
    <row r="147" spans="3:7" ht="12.75">
      <c r="C147" s="5" t="s">
        <v>42</v>
      </c>
      <c r="F147" s="14">
        <f>(F135/Calculs!$F$18/12+F124)</f>
        <v>191.6605827100051</v>
      </c>
      <c r="G147" s="14">
        <f>(G135/Calculs!$F$18/12+G124)</f>
        <v>102.42</v>
      </c>
    </row>
    <row r="148" spans="3:7" ht="12.75">
      <c r="C148" s="5" t="s">
        <v>43</v>
      </c>
      <c r="F148" s="14">
        <f>(F136/Calculs!$F$18/12+F125)</f>
        <v>204.00962931764678</v>
      </c>
      <c r="G148" s="14">
        <f>(G136/Calculs!$F$18/12+G125)</f>
        <v>102.42</v>
      </c>
    </row>
    <row r="149" spans="3:7" ht="12.75">
      <c r="C149" s="5" t="s">
        <v>44</v>
      </c>
      <c r="F149" s="14">
        <f>(F137/Calculs!$F$18/12+F126)</f>
        <v>210.33751334323762</v>
      </c>
      <c r="G149" s="14">
        <f>(G137/Calculs!$F$18/12+G126)</f>
        <v>102.42</v>
      </c>
    </row>
    <row r="150" spans="3:7" ht="12.75">
      <c r="C150" s="5" t="s">
        <v>45</v>
      </c>
      <c r="F150" s="14">
        <f>(F138/Calculs!$F$18/12+F127)</f>
        <v>196.44359824588565</v>
      </c>
      <c r="G150" s="14">
        <f>(G138/Calculs!$F$18/12+G127)</f>
        <v>102.42</v>
      </c>
    </row>
    <row r="151" spans="3:7" ht="12.75">
      <c r="C151" s="5" t="s">
        <v>46</v>
      </c>
      <c r="F151" s="14">
        <f>(F139/Calculs!$F$18/12+F128)</f>
        <v>204.00962931764678</v>
      </c>
      <c r="G151" s="14">
        <f>(G139/Calculs!$F$18/12+G128)</f>
        <v>102.42</v>
      </c>
    </row>
    <row r="152" spans="3:7" ht="12.75">
      <c r="C152" s="5"/>
      <c r="D152" s="5"/>
      <c r="F152" s="13"/>
      <c r="G152" s="10"/>
    </row>
    <row r="153" spans="2:7" ht="12.75">
      <c r="B153" s="8" t="s">
        <v>47</v>
      </c>
      <c r="F153" s="13"/>
      <c r="G153" s="10"/>
    </row>
    <row r="154" spans="2:6" ht="12.75">
      <c r="B154" s="8" t="s">
        <v>48</v>
      </c>
      <c r="F154" s="1"/>
    </row>
    <row r="155" spans="3:7" ht="12.75">
      <c r="C155" s="5" t="s">
        <v>38</v>
      </c>
      <c r="F155" s="15">
        <f>F143/2</f>
        <v>39.025</v>
      </c>
      <c r="G155" s="15">
        <f>G143/2</f>
        <v>28.61</v>
      </c>
    </row>
    <row r="156" spans="3:7" ht="12.75">
      <c r="C156" s="5" t="s">
        <v>39</v>
      </c>
      <c r="F156" s="15">
        <f aca="true" t="shared" si="4" ref="F156:F163">F144/2</f>
        <v>89.66634934220713</v>
      </c>
      <c r="G156" s="15">
        <f aca="true" t="shared" si="5" ref="G156:G163">G144/2</f>
        <v>51.21</v>
      </c>
    </row>
    <row r="157" spans="3:7" ht="12.75">
      <c r="C157" s="5" t="s">
        <v>40</v>
      </c>
      <c r="F157" s="15">
        <f t="shared" si="4"/>
        <v>95.83029135500254</v>
      </c>
      <c r="G157" s="15">
        <f t="shared" si="5"/>
        <v>51.21</v>
      </c>
    </row>
    <row r="158" spans="3:7" ht="12.75">
      <c r="C158" s="5" t="s">
        <v>41</v>
      </c>
      <c r="F158" s="15">
        <f t="shared" si="4"/>
        <v>98.22179912294283</v>
      </c>
      <c r="G158" s="15">
        <f t="shared" si="5"/>
        <v>51.21</v>
      </c>
    </row>
    <row r="159" spans="3:7" ht="12.75">
      <c r="C159" s="5" t="s">
        <v>42</v>
      </c>
      <c r="F159" s="15">
        <f t="shared" si="4"/>
        <v>95.83029135500254</v>
      </c>
      <c r="G159" s="15">
        <f t="shared" si="5"/>
        <v>51.21</v>
      </c>
    </row>
    <row r="160" spans="3:7" ht="12.75">
      <c r="C160" s="5" t="s">
        <v>43</v>
      </c>
      <c r="F160" s="15">
        <f t="shared" si="4"/>
        <v>102.00481465882339</v>
      </c>
      <c r="G160" s="15">
        <f t="shared" si="5"/>
        <v>51.21</v>
      </c>
    </row>
    <row r="161" spans="3:7" ht="12.75">
      <c r="C161" s="5" t="s">
        <v>44</v>
      </c>
      <c r="F161" s="15">
        <f t="shared" si="4"/>
        <v>105.16875667161881</v>
      </c>
      <c r="G161" s="15">
        <f t="shared" si="5"/>
        <v>51.21</v>
      </c>
    </row>
    <row r="162" spans="3:7" ht="12.75">
      <c r="C162" s="5" t="s">
        <v>45</v>
      </c>
      <c r="F162" s="15">
        <f t="shared" si="4"/>
        <v>98.22179912294283</v>
      </c>
      <c r="G162" s="15">
        <f t="shared" si="5"/>
        <v>51.21</v>
      </c>
    </row>
    <row r="163" spans="3:7" ht="12.75">
      <c r="C163" s="5" t="s">
        <v>46</v>
      </c>
      <c r="F163" s="15">
        <f t="shared" si="4"/>
        <v>102.00481465882339</v>
      </c>
      <c r="G163" s="15">
        <f t="shared" si="5"/>
        <v>51.21</v>
      </c>
    </row>
    <row r="164" spans="3:7" ht="12.75">
      <c r="C164" s="5"/>
      <c r="F164" s="15"/>
      <c r="G164" s="15"/>
    </row>
    <row r="165" spans="2:6" ht="12.75">
      <c r="B165" s="16" t="s">
        <v>49</v>
      </c>
      <c r="F165" s="1"/>
    </row>
    <row r="166" spans="3:7" ht="12.75">
      <c r="C166" s="5" t="s">
        <v>38</v>
      </c>
      <c r="F166" s="6">
        <f>F143/128</f>
        <v>0.609765625</v>
      </c>
      <c r="G166" s="6">
        <f>G143/128</f>
        <v>0.44703125</v>
      </c>
    </row>
    <row r="167" spans="3:7" ht="12.75">
      <c r="C167" s="5" t="s">
        <v>39</v>
      </c>
      <c r="F167" s="6">
        <f aca="true" t="shared" si="6" ref="F167:F174">F144/128</f>
        <v>1.4010367084719864</v>
      </c>
      <c r="G167" s="6">
        <f aca="true" t="shared" si="7" ref="G167:G174">G144/128</f>
        <v>0.80015625</v>
      </c>
    </row>
    <row r="168" spans="3:7" ht="12.75">
      <c r="C168" s="5" t="s">
        <v>40</v>
      </c>
      <c r="F168" s="6">
        <f t="shared" si="6"/>
        <v>1.4973483024219147</v>
      </c>
      <c r="G168" s="6">
        <f t="shared" si="7"/>
        <v>0.80015625</v>
      </c>
    </row>
    <row r="169" spans="3:7" ht="12.75">
      <c r="C169" s="5" t="s">
        <v>41</v>
      </c>
      <c r="F169" s="6">
        <f t="shared" si="6"/>
        <v>1.5347156112959817</v>
      </c>
      <c r="G169" s="6">
        <f t="shared" si="7"/>
        <v>0.80015625</v>
      </c>
    </row>
    <row r="170" spans="3:7" ht="12.75">
      <c r="C170" s="5" t="s">
        <v>42</v>
      </c>
      <c r="F170" s="6">
        <f t="shared" si="6"/>
        <v>1.4973483024219147</v>
      </c>
      <c r="G170" s="6">
        <f t="shared" si="7"/>
        <v>0.80015625</v>
      </c>
    </row>
    <row r="171" spans="3:7" ht="12.75">
      <c r="C171" s="5" t="s">
        <v>43</v>
      </c>
      <c r="F171" s="6">
        <f t="shared" si="6"/>
        <v>1.5938252290441155</v>
      </c>
      <c r="G171" s="6">
        <f t="shared" si="7"/>
        <v>0.80015625</v>
      </c>
    </row>
    <row r="172" spans="3:7" ht="12.75">
      <c r="C172" s="5" t="s">
        <v>44</v>
      </c>
      <c r="F172" s="6">
        <f t="shared" si="6"/>
        <v>1.6432618229940439</v>
      </c>
      <c r="G172" s="6">
        <f t="shared" si="7"/>
        <v>0.80015625</v>
      </c>
    </row>
    <row r="173" spans="3:7" ht="12.75">
      <c r="C173" s="5" t="s">
        <v>45</v>
      </c>
      <c r="F173" s="6">
        <f t="shared" si="6"/>
        <v>1.5347156112959817</v>
      </c>
      <c r="G173" s="6">
        <f t="shared" si="7"/>
        <v>0.80015625</v>
      </c>
    </row>
    <row r="174" spans="3:7" ht="12.75">
      <c r="C174" s="5" t="s">
        <v>46</v>
      </c>
      <c r="D174" s="5"/>
      <c r="F174" s="6">
        <f t="shared" si="6"/>
        <v>1.5938252290441155</v>
      </c>
      <c r="G174" s="6">
        <f t="shared" si="7"/>
        <v>0.80015625</v>
      </c>
    </row>
    <row r="175" spans="3:6" ht="12.75">
      <c r="C175" s="5"/>
      <c r="F175" s="15"/>
    </row>
    <row r="176" spans="2:7" ht="12.75">
      <c r="B176" s="2" t="s">
        <v>65</v>
      </c>
      <c r="C176" s="3"/>
      <c r="D176" s="3"/>
      <c r="E176" s="3"/>
      <c r="F176" s="4" t="s">
        <v>1</v>
      </c>
      <c r="G176" s="81" t="s">
        <v>198</v>
      </c>
    </row>
    <row r="177" spans="3:7" ht="12.75">
      <c r="C177" s="5" t="s">
        <v>66</v>
      </c>
      <c r="F177" s="10">
        <f>1105*2</f>
        <v>2210</v>
      </c>
      <c r="G177" s="10">
        <f>350*2</f>
        <v>700</v>
      </c>
    </row>
    <row r="178" spans="3:7" ht="12.75">
      <c r="C178" s="5" t="s">
        <v>67</v>
      </c>
      <c r="D178" s="9"/>
      <c r="F178" s="10">
        <f>118.33*2</f>
        <v>236.66</v>
      </c>
      <c r="G178" s="10">
        <f>2*487/12</f>
        <v>81.16666666666667</v>
      </c>
    </row>
    <row r="179" ht="12.75"/>
    <row r="180" ht="12.75">
      <c r="G180" s="19"/>
    </row>
    <row r="182" ht="12.75">
      <c r="G182" s="19"/>
    </row>
  </sheetData>
  <printOptions/>
  <pageMargins left="0.84" right="0.4330708661417323" top="0.79" bottom="0.69" header="0.33" footer="0.1574803149606299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6"/>
  <sheetViews>
    <sheetView workbookViewId="0" topLeftCell="A1">
      <selection activeCell="B3" sqref="B3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6" width="23.8515625" style="1" customWidth="1"/>
    <col min="7" max="7" width="11.28125" style="21" customWidth="1"/>
    <col min="8" max="8" width="3.28125" style="1" customWidth="1"/>
    <col min="9" max="9" width="5.421875" style="85" customWidth="1"/>
    <col min="10" max="16384" width="11.421875" style="1" customWidth="1"/>
  </cols>
  <sheetData>
    <row r="2" spans="2:7" ht="12.75">
      <c r="B2" s="2" t="s">
        <v>68</v>
      </c>
      <c r="C2" s="3"/>
      <c r="D2" s="3"/>
      <c r="E2" s="3"/>
      <c r="F2" s="20"/>
      <c r="G2" s="2"/>
    </row>
    <row r="3" spans="3:7" ht="12.75">
      <c r="C3" s="5" t="s">
        <v>68</v>
      </c>
      <c r="G3" s="8">
        <v>2</v>
      </c>
    </row>
    <row r="4" ht="12.75"/>
    <row r="5" spans="2:7" ht="12.75">
      <c r="B5" s="2" t="s">
        <v>69</v>
      </c>
      <c r="C5" s="3"/>
      <c r="D5" s="3"/>
      <c r="E5" s="3"/>
      <c r="F5" s="20"/>
      <c r="G5" s="2"/>
    </row>
    <row r="6" spans="2:7" ht="16.5" customHeight="1">
      <c r="B6" s="22"/>
      <c r="C6" s="5" t="s">
        <v>206</v>
      </c>
      <c r="D6" s="17"/>
      <c r="E6" s="17"/>
      <c r="F6" s="18"/>
      <c r="G6" s="8">
        <v>1</v>
      </c>
    </row>
    <row r="7" spans="2:7" ht="16.5" customHeight="1">
      <c r="B7" s="22"/>
      <c r="C7" s="5" t="s">
        <v>223</v>
      </c>
      <c r="D7" s="17"/>
      <c r="E7" s="17"/>
      <c r="F7" s="18"/>
      <c r="G7" s="1">
        <f>IF(C84=2,0,1)</f>
        <v>1</v>
      </c>
    </row>
    <row r="8" spans="2:7" ht="16.5" customHeight="1">
      <c r="B8" s="22"/>
      <c r="C8" s="5" t="s">
        <v>207</v>
      </c>
      <c r="D8" s="17"/>
      <c r="E8" s="17"/>
      <c r="F8" s="18"/>
      <c r="G8" s="21">
        <f>IF(G91=3,0,IF(G91=1,1,IF(G91=2,2)))</f>
        <v>1</v>
      </c>
    </row>
    <row r="9" spans="2:7" ht="15" customHeight="1">
      <c r="B9" s="22"/>
      <c r="C9" s="5" t="s">
        <v>208</v>
      </c>
      <c r="D9" s="17"/>
      <c r="E9" s="17"/>
      <c r="F9" s="18"/>
      <c r="G9" s="1">
        <f>IF(B84=2,0,1)</f>
        <v>1</v>
      </c>
    </row>
    <row r="10" spans="2:10" ht="18" customHeight="1">
      <c r="B10" s="22"/>
      <c r="C10" s="5" t="s">
        <v>245</v>
      </c>
      <c r="D10" s="17"/>
      <c r="E10" s="17"/>
      <c r="F10" s="18"/>
      <c r="G10" s="1">
        <v>2</v>
      </c>
      <c r="J10" s="61"/>
    </row>
    <row r="12" spans="2:10" ht="12.75">
      <c r="B12" s="2" t="s">
        <v>256</v>
      </c>
      <c r="C12" s="3"/>
      <c r="D12" s="3"/>
      <c r="E12" s="3"/>
      <c r="F12" s="20"/>
      <c r="G12" s="2"/>
      <c r="J12" s="82"/>
    </row>
    <row r="13" spans="2:7" ht="12.75">
      <c r="B13" s="5"/>
      <c r="C13" s="5" t="s">
        <v>70</v>
      </c>
      <c r="F13" s="5"/>
      <c r="G13" s="23">
        <v>20000</v>
      </c>
    </row>
    <row r="14" spans="2:6" ht="12.75">
      <c r="B14" s="5"/>
      <c r="C14" s="5" t="s">
        <v>71</v>
      </c>
      <c r="F14" s="23">
        <v>2</v>
      </c>
    </row>
    <row r="15" spans="2:9" ht="12.75">
      <c r="B15" s="5"/>
      <c r="C15" s="5" t="s">
        <v>72</v>
      </c>
      <c r="F15" s="5"/>
      <c r="G15" s="25">
        <v>1</v>
      </c>
      <c r="I15" s="86"/>
    </row>
    <row r="16" spans="3:7" ht="12.75">
      <c r="C16" s="5" t="s">
        <v>73</v>
      </c>
      <c r="G16" s="8">
        <v>2</v>
      </c>
    </row>
    <row r="17" spans="3:7" ht="12.75">
      <c r="C17" s="5" t="s">
        <v>74</v>
      </c>
      <c r="G17" s="26">
        <v>2</v>
      </c>
    </row>
    <row r="18" ht="12.75"/>
    <row r="19" spans="2:7" ht="12.75">
      <c r="B19" s="2" t="s">
        <v>255</v>
      </c>
      <c r="C19" s="3"/>
      <c r="D19" s="3"/>
      <c r="E19" s="3"/>
      <c r="F19" s="20"/>
      <c r="G19" s="2"/>
    </row>
    <row r="20" spans="2:9" ht="12.75">
      <c r="B20" s="22"/>
      <c r="C20" s="5" t="s">
        <v>230</v>
      </c>
      <c r="D20" s="17"/>
      <c r="E20" s="17"/>
      <c r="F20" s="27"/>
      <c r="G20" s="92">
        <v>0.018</v>
      </c>
      <c r="I20" s="84"/>
    </row>
    <row r="21" spans="2:9" ht="12.75">
      <c r="B21" s="22"/>
      <c r="C21" s="5" t="s">
        <v>75</v>
      </c>
      <c r="D21" s="17"/>
      <c r="E21" s="17"/>
      <c r="F21" s="27"/>
      <c r="G21" s="28">
        <v>0.87</v>
      </c>
      <c r="I21" s="84"/>
    </row>
    <row r="22" spans="3:9" ht="12.75">
      <c r="C22" s="5" t="s">
        <v>76</v>
      </c>
      <c r="D22" s="5"/>
      <c r="E22" s="5"/>
      <c r="G22" s="28">
        <v>0.15</v>
      </c>
      <c r="I22" s="84"/>
    </row>
    <row r="23" spans="3:9" ht="12.75">
      <c r="C23" s="5" t="s">
        <v>77</v>
      </c>
      <c r="D23" s="5"/>
      <c r="E23" s="5"/>
      <c r="G23" s="28">
        <v>0.03</v>
      </c>
      <c r="I23" s="84"/>
    </row>
    <row r="25" spans="2:7" ht="12.75">
      <c r="B25" s="2" t="s">
        <v>0</v>
      </c>
      <c r="C25" s="3"/>
      <c r="D25" s="3"/>
      <c r="E25" s="3"/>
      <c r="F25" s="20"/>
      <c r="G25" s="2"/>
    </row>
    <row r="26" spans="3:11" ht="17.25" customHeight="1">
      <c r="C26" s="5" t="s">
        <v>209</v>
      </c>
      <c r="D26" s="5"/>
      <c r="E26" s="5"/>
      <c r="G26" s="1">
        <f>IF(C91=1,1,IF(C91=2,2,IF(C91=3,4)))</f>
        <v>1</v>
      </c>
      <c r="K26" s="82"/>
    </row>
    <row r="27" spans="3:11" ht="15.75" customHeight="1">
      <c r="C27" s="5" t="s">
        <v>210</v>
      </c>
      <c r="D27" s="5"/>
      <c r="E27" s="5"/>
      <c r="G27" s="1">
        <f>IF(E90=2,0,1)</f>
        <v>1</v>
      </c>
      <c r="K27" s="82"/>
    </row>
    <row r="28" spans="3:7" ht="12.75">
      <c r="C28" s="5" t="s">
        <v>78</v>
      </c>
      <c r="F28" s="15"/>
      <c r="G28" s="23">
        <v>5</v>
      </c>
    </row>
    <row r="29" spans="3:7" ht="12.75">
      <c r="C29" s="5" t="s">
        <v>79</v>
      </c>
      <c r="F29" s="15"/>
      <c r="G29" s="23">
        <f>G28</f>
        <v>5</v>
      </c>
    </row>
    <row r="30" spans="3:9" ht="12.75">
      <c r="C30" s="5" t="s">
        <v>80</v>
      </c>
      <c r="G30" s="29">
        <v>1</v>
      </c>
      <c r="I30" s="87"/>
    </row>
    <row r="31" spans="3:9" ht="12.75">
      <c r="C31" s="5" t="s">
        <v>81</v>
      </c>
      <c r="F31" s="30"/>
      <c r="G31" s="28">
        <v>0.05</v>
      </c>
      <c r="I31" s="87"/>
    </row>
    <row r="32" spans="3:7" ht="12.75">
      <c r="C32" s="5"/>
      <c r="F32" s="30"/>
      <c r="G32" s="28"/>
    </row>
    <row r="33" spans="2:7" ht="12.75">
      <c r="B33" s="2" t="s">
        <v>82</v>
      </c>
      <c r="C33" s="3"/>
      <c r="D33" s="3"/>
      <c r="E33" s="3"/>
      <c r="F33" s="20"/>
      <c r="G33" s="2"/>
    </row>
    <row r="34" spans="2:7" ht="12.75">
      <c r="B34" s="8" t="s">
        <v>10</v>
      </c>
      <c r="C34" s="5"/>
      <c r="F34" s="30"/>
      <c r="G34" s="28"/>
    </row>
    <row r="35" spans="3:7" ht="12.75">
      <c r="C35" s="5" t="s">
        <v>83</v>
      </c>
      <c r="D35" s="9"/>
      <c r="G35" s="31">
        <v>34000</v>
      </c>
    </row>
    <row r="36" spans="3:7" ht="12.75">
      <c r="C36" s="5" t="s">
        <v>84</v>
      </c>
      <c r="D36" s="9"/>
      <c r="G36" s="31">
        <v>10</v>
      </c>
    </row>
    <row r="37" spans="3:7" ht="12.75">
      <c r="C37" s="5"/>
      <c r="D37" s="9"/>
      <c r="G37" s="31"/>
    </row>
    <row r="38" ht="12.75">
      <c r="B38" s="8" t="s">
        <v>85</v>
      </c>
    </row>
    <row r="39" spans="3:7" ht="12.75">
      <c r="C39" s="5" t="s">
        <v>86</v>
      </c>
      <c r="F39" s="10"/>
      <c r="G39" s="31">
        <v>5</v>
      </c>
    </row>
    <row r="40" spans="3:7" ht="12.75">
      <c r="C40" s="5" t="s">
        <v>87</v>
      </c>
      <c r="F40" s="10"/>
      <c r="G40" s="31">
        <v>4</v>
      </c>
    </row>
    <row r="41" spans="3:7" ht="12.75">
      <c r="C41" s="5"/>
      <c r="G41" s="23"/>
    </row>
    <row r="42" spans="2:7" ht="12.75">
      <c r="B42" s="8" t="s">
        <v>88</v>
      </c>
      <c r="C42" s="5"/>
      <c r="F42" s="30"/>
      <c r="G42" s="28"/>
    </row>
    <row r="43" spans="3:7" ht="12.75">
      <c r="C43" s="5" t="s">
        <v>89</v>
      </c>
      <c r="D43" s="9"/>
      <c r="E43" s="24"/>
      <c r="F43" s="12"/>
      <c r="G43" s="23">
        <f>G39</f>
        <v>5</v>
      </c>
    </row>
    <row r="44" spans="3:7" ht="12.75">
      <c r="C44" s="5" t="s">
        <v>90</v>
      </c>
      <c r="D44" s="9"/>
      <c r="E44" s="24"/>
      <c r="F44" s="12"/>
      <c r="G44" s="8">
        <v>3</v>
      </c>
    </row>
    <row r="45" spans="3:7" ht="12.75">
      <c r="C45" s="5"/>
      <c r="D45" s="9"/>
      <c r="F45" s="12"/>
      <c r="G45" s="8"/>
    </row>
    <row r="46" spans="2:7" ht="12.75">
      <c r="B46" s="8" t="s">
        <v>65</v>
      </c>
      <c r="C46" s="5"/>
      <c r="F46" s="30"/>
      <c r="G46" s="28"/>
    </row>
    <row r="47" spans="2:7" ht="12.75">
      <c r="B47" s="5"/>
      <c r="C47" s="5" t="s">
        <v>91</v>
      </c>
      <c r="D47" s="24"/>
      <c r="E47" s="24"/>
      <c r="F47" s="32"/>
      <c r="G47" s="33">
        <v>0.75</v>
      </c>
    </row>
    <row r="48" spans="2:7" ht="12.75">
      <c r="B48" s="5"/>
      <c r="C48" s="5" t="s">
        <v>78</v>
      </c>
      <c r="G48" s="34">
        <f>G43</f>
        <v>5</v>
      </c>
    </row>
    <row r="49" spans="3:7" ht="12.75">
      <c r="C49" s="5"/>
      <c r="D49" s="9"/>
      <c r="F49" s="12"/>
      <c r="G49" s="8"/>
    </row>
    <row r="50" spans="2:7" ht="12.75">
      <c r="B50" s="8" t="s">
        <v>92</v>
      </c>
      <c r="C50" s="5"/>
      <c r="D50" s="9"/>
      <c r="F50" s="12"/>
      <c r="G50" s="8"/>
    </row>
    <row r="51" spans="2:7" ht="14.25" customHeight="1">
      <c r="B51" s="8"/>
      <c r="C51" s="5" t="s">
        <v>93</v>
      </c>
      <c r="F51" s="10"/>
      <c r="G51" s="31">
        <v>30000</v>
      </c>
    </row>
    <row r="52" spans="2:7" ht="14.25" customHeight="1">
      <c r="B52" s="8"/>
      <c r="C52" s="5" t="s">
        <v>94</v>
      </c>
      <c r="F52" s="10"/>
      <c r="G52" s="31">
        <v>10</v>
      </c>
    </row>
    <row r="53" spans="2:7" ht="14.25" customHeight="1">
      <c r="B53" s="8"/>
      <c r="C53" s="5" t="s">
        <v>95</v>
      </c>
      <c r="F53" s="10"/>
      <c r="G53" s="31">
        <v>10000</v>
      </c>
    </row>
    <row r="54" spans="3:7" ht="12.75">
      <c r="C54" s="5"/>
      <c r="D54" s="9"/>
      <c r="F54" s="12"/>
      <c r="G54" s="8"/>
    </row>
    <row r="55" spans="2:7" ht="12.75">
      <c r="B55" s="8" t="s">
        <v>96</v>
      </c>
      <c r="C55" s="5"/>
      <c r="F55" s="30"/>
      <c r="G55" s="28"/>
    </row>
    <row r="56" spans="2:7" ht="12.75">
      <c r="B56" s="8"/>
      <c r="C56" s="5" t="s">
        <v>97</v>
      </c>
      <c r="F56" s="10"/>
      <c r="G56" s="31">
        <v>2</v>
      </c>
    </row>
    <row r="57" spans="2:7" ht="14.25" customHeight="1">
      <c r="B57" s="8"/>
      <c r="C57" s="5" t="s">
        <v>98</v>
      </c>
      <c r="F57" s="10"/>
      <c r="G57" s="31">
        <v>5</v>
      </c>
    </row>
    <row r="58" ht="12.75">
      <c r="C58" s="35"/>
    </row>
    <row r="59" spans="2:6" ht="12.75">
      <c r="B59" s="8" t="s">
        <v>99</v>
      </c>
      <c r="C59" s="17"/>
      <c r="D59" s="17"/>
      <c r="E59" s="17"/>
      <c r="F59" s="18"/>
    </row>
    <row r="60" spans="2:7" ht="12.75">
      <c r="B60" s="5"/>
      <c r="C60" s="5" t="s">
        <v>100</v>
      </c>
      <c r="D60" s="9"/>
      <c r="F60" s="10"/>
      <c r="G60" s="31">
        <v>3</v>
      </c>
    </row>
    <row r="62" spans="2:7" ht="12.75">
      <c r="B62" s="2" t="s">
        <v>101</v>
      </c>
      <c r="C62" s="3"/>
      <c r="D62" s="3"/>
      <c r="E62" s="3"/>
      <c r="F62" s="20"/>
      <c r="G62" s="2"/>
    </row>
    <row r="63" spans="2:7" ht="12.75">
      <c r="B63" s="22"/>
      <c r="C63" s="5" t="s">
        <v>253</v>
      </c>
      <c r="D63" s="5"/>
      <c r="F63" s="5"/>
      <c r="G63" s="23">
        <v>3000</v>
      </c>
    </row>
    <row r="64" spans="2:7" ht="12.75">
      <c r="B64" s="22"/>
      <c r="C64" s="5" t="s">
        <v>251</v>
      </c>
      <c r="D64" s="5"/>
      <c r="F64" s="5"/>
      <c r="G64" s="23">
        <v>25</v>
      </c>
    </row>
    <row r="65" spans="2:7" ht="12.75">
      <c r="B65" s="22"/>
      <c r="C65" s="5" t="s">
        <v>252</v>
      </c>
      <c r="D65" s="5"/>
      <c r="F65" s="5"/>
      <c r="G65" s="23">
        <v>50</v>
      </c>
    </row>
    <row r="66" spans="2:7" ht="12.75">
      <c r="B66" s="5"/>
      <c r="C66" s="5" t="s">
        <v>248</v>
      </c>
      <c r="D66" s="5"/>
      <c r="F66" s="5"/>
      <c r="G66" s="23">
        <v>256</v>
      </c>
    </row>
    <row r="67" spans="2:7" ht="12.75">
      <c r="B67" s="5"/>
      <c r="C67" s="5" t="s">
        <v>249</v>
      </c>
      <c r="D67" s="5"/>
      <c r="F67" s="5"/>
      <c r="G67" s="23">
        <v>128</v>
      </c>
    </row>
    <row r="68" spans="2:11" ht="12.75">
      <c r="B68" s="22"/>
      <c r="C68" s="5" t="s">
        <v>102</v>
      </c>
      <c r="D68" s="5"/>
      <c r="F68" s="5"/>
      <c r="G68" s="23">
        <f>IF(G10=1,G63+G64*G66,G63+G65*G67)</f>
        <v>9400</v>
      </c>
      <c r="K68" s="82"/>
    </row>
    <row r="69" spans="3:7" ht="12.75">
      <c r="C69" s="5" t="s">
        <v>103</v>
      </c>
      <c r="D69" s="5"/>
      <c r="F69" s="5"/>
      <c r="G69" s="23">
        <v>5</v>
      </c>
    </row>
    <row r="70" spans="3:7" ht="12.75">
      <c r="C70" s="5" t="s">
        <v>104</v>
      </c>
      <c r="F70" s="5"/>
      <c r="G70" s="29">
        <v>0.1</v>
      </c>
    </row>
    <row r="71" spans="3:7" ht="12.75">
      <c r="C71" s="5" t="s">
        <v>90</v>
      </c>
      <c r="F71" s="5"/>
      <c r="G71" s="23">
        <f>G44</f>
        <v>3</v>
      </c>
    </row>
    <row r="73" spans="2:7" ht="12.75">
      <c r="B73" s="2" t="s">
        <v>105</v>
      </c>
      <c r="C73" s="3"/>
      <c r="D73" s="3"/>
      <c r="E73" s="3"/>
      <c r="F73" s="20"/>
      <c r="G73" s="2"/>
    </row>
    <row r="74" spans="2:7" ht="12.75">
      <c r="B74" s="5"/>
      <c r="C74" s="5" t="s">
        <v>106</v>
      </c>
      <c r="G74" s="36">
        <v>0.136</v>
      </c>
    </row>
    <row r="75" spans="2:7" ht="12.75">
      <c r="B75" s="5"/>
      <c r="C75" s="5" t="s">
        <v>107</v>
      </c>
      <c r="F75" s="5"/>
      <c r="G75" s="29">
        <v>0.25</v>
      </c>
    </row>
    <row r="76" spans="2:7" ht="12.75">
      <c r="B76" s="5"/>
      <c r="C76" s="5"/>
      <c r="F76" s="5"/>
      <c r="G76" s="28"/>
    </row>
    <row r="77" spans="2:7" ht="12.75">
      <c r="B77" s="2" t="s">
        <v>108</v>
      </c>
      <c r="C77" s="3"/>
      <c r="D77" s="3"/>
      <c r="E77" s="3"/>
      <c r="F77" s="4"/>
      <c r="G77" s="4"/>
    </row>
    <row r="78" spans="2:7" ht="12.75">
      <c r="B78" s="37"/>
      <c r="C78" s="5" t="s">
        <v>109</v>
      </c>
      <c r="G78" s="36">
        <v>0.067</v>
      </c>
    </row>
    <row r="79" spans="2:7" ht="12.75">
      <c r="B79" s="37"/>
      <c r="C79" s="5" t="s">
        <v>254</v>
      </c>
      <c r="G79" s="29">
        <v>0.11</v>
      </c>
    </row>
    <row r="80" spans="2:7" ht="12.75">
      <c r="B80" s="37"/>
      <c r="C80" s="5"/>
      <c r="G80" s="29"/>
    </row>
    <row r="81" spans="2:9" ht="12.75" hidden="1">
      <c r="B81" s="88" t="s">
        <v>217</v>
      </c>
      <c r="C81" s="88" t="s">
        <v>223</v>
      </c>
      <c r="D81" s="88"/>
      <c r="E81" s="88"/>
      <c r="F81" s="88" t="s">
        <v>218</v>
      </c>
      <c r="G81" s="88"/>
      <c r="H81" s="88"/>
      <c r="I81" s="89"/>
    </row>
    <row r="82" spans="2:9" ht="12.75" hidden="1">
      <c r="B82" s="88" t="s">
        <v>111</v>
      </c>
      <c r="C82" s="88" t="s">
        <v>111</v>
      </c>
      <c r="D82" s="88"/>
      <c r="E82" s="88" t="s">
        <v>110</v>
      </c>
      <c r="F82" s="88" t="s">
        <v>111</v>
      </c>
      <c r="G82" s="90">
        <v>38412</v>
      </c>
      <c r="H82" s="88"/>
      <c r="I82" s="89"/>
    </row>
    <row r="83" spans="2:9" ht="12.75" hidden="1">
      <c r="B83" s="88" t="s">
        <v>113</v>
      </c>
      <c r="C83" s="88" t="s">
        <v>113</v>
      </c>
      <c r="D83" s="88"/>
      <c r="E83" s="88" t="s">
        <v>112</v>
      </c>
      <c r="F83" s="88" t="s">
        <v>113</v>
      </c>
      <c r="G83" s="90">
        <v>38534</v>
      </c>
      <c r="H83" s="88"/>
      <c r="I83" s="89"/>
    </row>
    <row r="84" spans="2:9" ht="12.75" hidden="1">
      <c r="B84" s="88">
        <v>1</v>
      </c>
      <c r="C84" s="88">
        <v>1</v>
      </c>
      <c r="D84" s="88"/>
      <c r="E84" s="88"/>
      <c r="F84" s="88"/>
      <c r="G84" s="88"/>
      <c r="H84" s="88"/>
      <c r="I84" s="89"/>
    </row>
    <row r="85" spans="2:9" ht="12.75" hidden="1">
      <c r="B85" s="88"/>
      <c r="C85" s="88"/>
      <c r="D85" s="88"/>
      <c r="E85" s="88"/>
      <c r="F85" s="88"/>
      <c r="G85" s="88"/>
      <c r="H85" s="88"/>
      <c r="I85" s="89"/>
    </row>
    <row r="86" spans="2:9" ht="12.75" hidden="1">
      <c r="B86" s="88"/>
      <c r="C86" s="88"/>
      <c r="D86" s="88"/>
      <c r="E86" s="88"/>
      <c r="F86" s="88"/>
      <c r="G86" s="88"/>
      <c r="H86" s="88"/>
      <c r="I86" s="89"/>
    </row>
    <row r="87" spans="2:9" ht="12.75" hidden="1">
      <c r="B87" s="88" t="s">
        <v>245</v>
      </c>
      <c r="C87" s="88" t="s">
        <v>214</v>
      </c>
      <c r="D87" s="88"/>
      <c r="E87" s="88" t="s">
        <v>215</v>
      </c>
      <c r="F87" s="88"/>
      <c r="G87" s="88" t="s">
        <v>216</v>
      </c>
      <c r="H87" s="88"/>
      <c r="I87" s="89"/>
    </row>
    <row r="88" spans="2:9" ht="12.75" hidden="1">
      <c r="B88" s="88" t="s">
        <v>246</v>
      </c>
      <c r="C88" s="88">
        <v>1</v>
      </c>
      <c r="D88" s="88"/>
      <c r="E88" s="88" t="s">
        <v>111</v>
      </c>
      <c r="F88" s="88"/>
      <c r="G88" s="88" t="s">
        <v>212</v>
      </c>
      <c r="H88" s="88"/>
      <c r="I88" s="89"/>
    </row>
    <row r="89" spans="2:9" ht="12.75" hidden="1">
      <c r="B89" s="88" t="s">
        <v>247</v>
      </c>
      <c r="C89" s="88">
        <v>2</v>
      </c>
      <c r="D89" s="88"/>
      <c r="E89" s="88" t="s">
        <v>113</v>
      </c>
      <c r="F89" s="88"/>
      <c r="G89" s="88" t="s">
        <v>213</v>
      </c>
      <c r="H89" s="88"/>
      <c r="I89" s="89"/>
    </row>
    <row r="90" spans="2:9" ht="12.75" hidden="1">
      <c r="B90" s="88"/>
      <c r="C90" s="88">
        <v>4</v>
      </c>
      <c r="D90" s="88"/>
      <c r="E90" s="88">
        <v>1</v>
      </c>
      <c r="F90" s="88"/>
      <c r="G90" s="88" t="s">
        <v>211</v>
      </c>
      <c r="H90" s="88"/>
      <c r="I90" s="89"/>
    </row>
    <row r="91" spans="2:9" ht="12.75" hidden="1">
      <c r="B91" s="88"/>
      <c r="C91" s="88">
        <v>1</v>
      </c>
      <c r="D91" s="88"/>
      <c r="E91" s="88"/>
      <c r="F91" s="88"/>
      <c r="G91" s="88">
        <v>1</v>
      </c>
      <c r="H91" s="88"/>
      <c r="I91" s="89"/>
    </row>
    <row r="92" spans="2:7" ht="12.75">
      <c r="B92" s="8"/>
      <c r="C92" s="5"/>
      <c r="D92" s="5"/>
      <c r="E92" s="5"/>
      <c r="F92" s="5"/>
      <c r="G92" s="40"/>
    </row>
    <row r="93" spans="2:7" ht="12.75">
      <c r="B93" s="5"/>
      <c r="C93" s="5"/>
      <c r="D93" s="5"/>
      <c r="E93" s="5"/>
      <c r="F93" s="5"/>
      <c r="G93" s="40"/>
    </row>
    <row r="94" spans="2:7" ht="12.75">
      <c r="B94" s="5"/>
      <c r="C94" s="5"/>
      <c r="D94" s="5"/>
      <c r="E94" s="5"/>
      <c r="F94" s="5"/>
      <c r="G94" s="40"/>
    </row>
    <row r="95" spans="2:7" ht="12.75">
      <c r="B95" s="5"/>
      <c r="C95" s="5"/>
      <c r="D95" s="5"/>
      <c r="E95" s="5"/>
      <c r="F95" s="5"/>
      <c r="G95" s="40"/>
    </row>
    <row r="96" spans="2:7" ht="12.75">
      <c r="B96" s="8"/>
      <c r="C96" s="5"/>
      <c r="D96" s="5"/>
      <c r="E96" s="5"/>
      <c r="F96" s="5"/>
      <c r="G96" s="40"/>
    </row>
  </sheetData>
  <printOptions/>
  <pageMargins left="0.55" right="0.6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24"/>
  <sheetViews>
    <sheetView workbookViewId="0" topLeftCell="A1">
      <selection activeCell="F125" sqref="A1:F125"/>
    </sheetView>
  </sheetViews>
  <sheetFormatPr defaultColWidth="11.421875" defaultRowHeight="12.75" outlineLevelRow="1"/>
  <cols>
    <col min="1" max="1" width="2.00390625" style="5" customWidth="1"/>
    <col min="2" max="2" width="10.28125" style="5" customWidth="1"/>
    <col min="3" max="3" width="55.7109375" style="5" bestFit="1" customWidth="1"/>
    <col min="4" max="4" width="13.421875" style="5" bestFit="1" customWidth="1"/>
    <col min="5" max="5" width="14.140625" style="39" customWidth="1"/>
    <col min="6" max="6" width="14.57421875" style="39" customWidth="1"/>
    <col min="7" max="16384" width="11.421875" style="5" customWidth="1"/>
  </cols>
  <sheetData>
    <row r="2" spans="2:6" ht="11.25">
      <c r="B2" s="2" t="s">
        <v>114</v>
      </c>
      <c r="C2" s="20"/>
      <c r="D2" s="20"/>
      <c r="E2" s="38"/>
      <c r="F2" s="38"/>
    </row>
    <row r="3" spans="3:8" ht="12.75">
      <c r="C3" s="5" t="s">
        <v>258</v>
      </c>
      <c r="D3" s="1"/>
      <c r="F3" s="40">
        <f>'Hypothèses et paramètres'!G13*'Hypothèses et paramètres'!G20*'Hypothèses et paramètres'!G21*'Hypothèses et paramètres'!G22</f>
        <v>46.98</v>
      </c>
      <c r="H3" s="83"/>
    </row>
    <row r="4" spans="3:8" ht="12.75">
      <c r="C4" s="5" t="str">
        <f>"Nombre d'accès projetées à m + "&amp;'Hypothèses et paramètres'!G44&amp;" mois (pour le dimensionnement des câbles et DSLAMs)"</f>
        <v>Nombre d'accès projetées à m + 3 mois (pour le dimensionnement des câbles et DSLAMs)</v>
      </c>
      <c r="D4" s="1"/>
      <c r="F4" s="40">
        <f>F3*((1+'Hypothèses et paramètres'!G23)^'Hypothèses et paramètres'!G71)</f>
        <v>51.33631446</v>
      </c>
      <c r="H4" s="8"/>
    </row>
    <row r="5" spans="3:8" ht="12.75">
      <c r="C5" s="5" t="s">
        <v>257</v>
      </c>
      <c r="D5" s="1"/>
      <c r="F5" s="40">
        <f>'Hypothèses et paramètres'!G13*'Hypothèses et paramètres'!G20*'Hypothèses et paramètres'!G21*'Hypothèses et paramètres'!G22*'Hypothèses et paramètres'!G26</f>
        <v>46.98</v>
      </c>
      <c r="H5" s="8"/>
    </row>
    <row r="6" spans="3:8" ht="12.75">
      <c r="C6" s="5" t="str">
        <f>"Nombre de paire de cuivre projetées à m + "&amp;'Hypothèses et paramètres'!G44&amp;" mois (pour le dimensionnement des câbles et DSLAMs)"</f>
        <v>Nombre de paire de cuivre projetées à m + 3 mois (pour le dimensionnement des câbles et DSLAMs)</v>
      </c>
      <c r="D6" s="1"/>
      <c r="F6" s="40">
        <f>F5*((1+'Hypothèses et paramètres'!G23)^'Hypothèses et paramètres'!G71)</f>
        <v>51.33631446</v>
      </c>
      <c r="H6" s="8"/>
    </row>
    <row r="7" spans="3:6" ht="11.25">
      <c r="C7" s="5" t="s">
        <v>115</v>
      </c>
      <c r="F7" s="26">
        <f>ROUNDUP(F5/'Hypothèses et paramètres'!G67,0)</f>
        <v>1</v>
      </c>
    </row>
    <row r="8" spans="3:6" ht="11.25">
      <c r="C8" s="5" t="s">
        <v>116</v>
      </c>
      <c r="F8" s="26">
        <f>ROUNDUP(F6/'Hypothèses et paramètres'!G67,0)</f>
        <v>1</v>
      </c>
    </row>
    <row r="9" spans="3:6" ht="11.25">
      <c r="C9" s="5" t="s">
        <v>117</v>
      </c>
      <c r="F9" s="41">
        <f>ROUNDUP(F7/'Hypothèses et paramètres'!$G$40,0)</f>
        <v>1</v>
      </c>
    </row>
    <row r="10" spans="3:6" ht="11.25">
      <c r="C10" s="5" t="s">
        <v>118</v>
      </c>
      <c r="F10" s="41">
        <f>ROUNDUP(F8/'Hypothèses et paramètres'!$G$40,0)</f>
        <v>1</v>
      </c>
    </row>
    <row r="11" spans="3:6" ht="11.25">
      <c r="C11" s="5" t="s">
        <v>119</v>
      </c>
      <c r="E11" s="42"/>
      <c r="F11" s="26">
        <f>ROUNDUP(F5/128,0)</f>
        <v>1</v>
      </c>
    </row>
    <row r="12" spans="3:6" ht="11.25">
      <c r="C12" s="5" t="s">
        <v>120</v>
      </c>
      <c r="E12" s="42"/>
      <c r="F12" s="26">
        <f>ROUNDUP(F6/128,0)</f>
        <v>1</v>
      </c>
    </row>
    <row r="13" spans="2:6" ht="11.25">
      <c r="B13" s="43"/>
      <c r="C13" s="5" t="s">
        <v>121</v>
      </c>
      <c r="E13" s="42"/>
      <c r="F13" s="26">
        <f>F10*'Hypothèses et paramètres'!G47</f>
        <v>0.75</v>
      </c>
    </row>
    <row r="15" spans="2:6" ht="11.25">
      <c r="B15" s="2" t="s">
        <v>122</v>
      </c>
      <c r="C15" s="20"/>
      <c r="D15" s="20"/>
      <c r="E15" s="38"/>
      <c r="F15" s="38"/>
    </row>
    <row r="16" spans="3:6" ht="11.25">
      <c r="C16" s="5" t="s">
        <v>123</v>
      </c>
      <c r="F16" s="44">
        <f>(1+'Hypothèses et paramètres'!G74)*(1+'Hypothèses et paramètres'!G75)-1</f>
        <v>0.42000000000000015</v>
      </c>
    </row>
    <row r="17" spans="3:6" ht="11.25">
      <c r="C17" s="5" t="s">
        <v>124</v>
      </c>
      <c r="F17" s="45">
        <f>(((1+'Hypothèses et paramètres'!G74)^(-1))^('Hypothèses et paramètres'!G28)-1)/(((1+'Hypothèses et paramètres'!G74)^(-1))-1)</f>
        <v>3.937767760719961</v>
      </c>
    </row>
    <row r="18" spans="3:6" ht="11.25">
      <c r="C18" s="5" t="s">
        <v>125</v>
      </c>
      <c r="F18" s="45">
        <f>(((1+'Hypothèses et paramètres'!G74)^(-1))^('Hypothèses et paramètres'!G43)-1)/(((1+'Hypothèses et paramètres'!G74)^(-1))-1)</f>
        <v>3.937767760719961</v>
      </c>
    </row>
    <row r="20" spans="2:8" ht="11.25">
      <c r="B20" s="2" t="s">
        <v>126</v>
      </c>
      <c r="C20" s="20"/>
      <c r="D20" s="20"/>
      <c r="E20" s="38" t="s">
        <v>127</v>
      </c>
      <c r="F20" s="38" t="s">
        <v>128</v>
      </c>
      <c r="H20" s="7"/>
    </row>
    <row r="21" spans="3:6" ht="11.25">
      <c r="C21" s="5" t="s">
        <v>226</v>
      </c>
      <c r="D21" s="5" t="s">
        <v>130</v>
      </c>
      <c r="E21" s="42">
        <f>(IF('Hypothèses et paramètres'!G3=1,"nd",IF(AND('Hypothèses et paramètres'!G3=2,'Hypothèses et paramètres'!G6=2),"nd",IF(AND('Hypothèses et paramètres'!G3=2,'Hypothèses et paramètres'!G6=1),'Offres de références'!G4*F3/F17/12*'Hypothèses et paramètres'!G26))))</f>
        <v>49.71090523739016</v>
      </c>
      <c r="F21" s="46">
        <f aca="true" t="shared" si="0" ref="F21:F29">E21/$F$3</f>
        <v>1.0581291025412976</v>
      </c>
    </row>
    <row r="22" spans="3:6" ht="11.25">
      <c r="C22" s="5" t="s">
        <v>225</v>
      </c>
      <c r="D22" s="5" t="s">
        <v>130</v>
      </c>
      <c r="E22" s="42">
        <f>(IF('Hypothèses et paramètres'!G3=1,"nd",IF(AND('Hypothèses et paramètres'!G3=2,'Hypothèses et paramètres'!G6=2),"nd",IF(AND('Hypothèses et paramètres'!G3=2,'Hypothèses et paramètres'!G6=1),IF('Hypothèses et paramètres'!G26=1,'Hypothèses et paramètres'!G7*'Offres de références'!G5*F3/F17/12,IF('Hypothèses et paramètres'!G26=2,'Hypothèses et paramètres'!G7*'Offres de références'!G6*F3/F17/12,IF('Hypothèses et paramètres'!G26=4,'Hypothèses et paramètres'!G7*'Offres de références'!G7*F3/F17/12)))))))</f>
        <v>158.99535931126863</v>
      </c>
      <c r="F22" s="46">
        <f t="shared" si="0"/>
        <v>3.384320121568085</v>
      </c>
    </row>
    <row r="23" spans="3:6" ht="11.25">
      <c r="C23" s="5" t="s">
        <v>219</v>
      </c>
      <c r="D23" s="5" t="s">
        <v>130</v>
      </c>
      <c r="E23" s="42">
        <f>(IF('Hypothèses et paramètres'!G3=1,"nd",IF(AND('Hypothèses et paramètres'!G3=2,'Hypothèses et paramètres'!G6=2),"nd",IF(AND('Hypothèses et paramètres'!G3=2,'Hypothèses et paramètres'!G6=1),'Hypothèses et paramètres'!G7*'Hypothèses et paramètres'!G27*'Offres de références'!G8*F3/F17/12))))</f>
        <v>125.04281103413119</v>
      </c>
      <c r="F23" s="46">
        <f t="shared" si="0"/>
        <v>2.6616179445323795</v>
      </c>
    </row>
    <row r="24" spans="3:6" ht="11.25">
      <c r="C24" s="5" t="s">
        <v>220</v>
      </c>
      <c r="D24" s="5" t="s">
        <v>130</v>
      </c>
      <c r="E24" s="42">
        <f>(IF('Hypothèses et paramètres'!G3=1,"nd",IF(AND('Hypothèses et paramètres'!G3=2,'Hypothèses et paramètres'!G6=2),"nd",IF(AND('Hypothèses et paramètres'!G3=2,'Hypothèses et paramètres'!G6=1),'Hypothèses et paramètres'!G9*'Hypothèses et paramètres'!G27*'Offres de références'!G16*F3/F17/12))))</f>
        <v>64.6241768086072</v>
      </c>
      <c r="F24" s="46">
        <f t="shared" si="0"/>
        <v>1.375567833303687</v>
      </c>
    </row>
    <row r="25" spans="3:7" ht="11.25">
      <c r="C25" s="5" t="s">
        <v>229</v>
      </c>
      <c r="D25" s="5" t="s">
        <v>130</v>
      </c>
      <c r="E25" s="42">
        <f>(IF('Hypothèses et paramètres'!G3=1,"nd",IF(AND('Hypothèses et paramètres'!G3=2,'Hypothèses et paramètres'!G6=2),"nd",IF(AND('Hypothèses et paramètres'!G3=2,'Hypothèses et paramètres'!G6=1),'Hypothèses et paramètres'!G30*'Offres de références'!G10*F3*'Hypothèses et paramètres'!G26/F17/12/((1+'Hypothèses et paramètres'!G74)^'Hypothèses et paramètres'!G29)))))</f>
        <v>15.765627649476333</v>
      </c>
      <c r="F25" s="46">
        <f t="shared" si="0"/>
        <v>0.3355816868768909</v>
      </c>
      <c r="G25" s="42"/>
    </row>
    <row r="26" spans="3:6" ht="11.25">
      <c r="C26" s="5" t="s">
        <v>228</v>
      </c>
      <c r="D26" s="5" t="s">
        <v>130</v>
      </c>
      <c r="E26" s="42">
        <f>(IF('Hypothèses et paramètres'!G3=1,"nd",IF(AND('Hypothèses et paramètres'!G3=2,'Hypothèses et paramètres'!G6=2),"nd",IF(AND('Hypothèses et paramètres'!G3=2,'Hypothèses et paramètres'!G6=1),'Hypothèses et paramètres'!G26*'Offres de références'!G13*Calculs!F3))))</f>
        <v>446.30999999999995</v>
      </c>
      <c r="F26" s="46">
        <f t="shared" si="0"/>
        <v>9.5</v>
      </c>
    </row>
    <row r="27" spans="3:6" ht="11.25">
      <c r="C27" s="5" t="s">
        <v>221</v>
      </c>
      <c r="D27" s="5" t="s">
        <v>130</v>
      </c>
      <c r="E27" s="42">
        <f>(IF('Hypothèses et paramètres'!G3=1,"nd",IF(AND('Hypothèses et paramètres'!G3=2,'Hypothèses et paramètres'!G6=2),"nd",IF(AND('Hypothèses et paramètres'!G3=2,'Hypothèses et paramètres'!G6=1),IF('Hypothèses et paramètres'!G8=0,0,IF('Hypothèses et paramètres'!G8=1,F3*'Offres de références'!G14,IF('Hypothèses et paramètres'!G8=2,0)))))))</f>
        <v>279.531</v>
      </c>
      <c r="F27" s="46">
        <f t="shared" si="0"/>
        <v>5.95</v>
      </c>
    </row>
    <row r="28" spans="3:6" ht="11.25">
      <c r="C28" s="5" t="s">
        <v>222</v>
      </c>
      <c r="D28" s="5" t="s">
        <v>130</v>
      </c>
      <c r="E28" s="42">
        <f>(IF('Hypothèses et paramètres'!G3=1,"nd",IF(AND('Hypothèses et paramètres'!G3=2,'Hypothèses et paramètres'!G6=2),"nd",IF(AND('Hypothèses et paramètres'!G3=2,'Hypothèses et paramètres'!G6=1),IF('Hypothèses et paramètres'!G8=0,0,IF('Hypothèses et paramètres'!G8=1,0,IF('Hypothèses et paramètres'!G8=2,'Offres de références'!G15*Calculs!F3)))))))</f>
        <v>0</v>
      </c>
      <c r="F28" s="46">
        <f t="shared" si="0"/>
        <v>0</v>
      </c>
    </row>
    <row r="29" spans="3:6" ht="11.25">
      <c r="C29" s="5" t="s">
        <v>227</v>
      </c>
      <c r="D29" s="5" t="s">
        <v>130</v>
      </c>
      <c r="E29" s="42">
        <f>(IF('Hypothèses et paramètres'!G3=1,"nd",IF(AND('Hypothèses et paramètres'!G3=2,'Hypothèses et paramètres'!G6=2),"nd",IF(AND('Hypothèses et paramètres'!G3=2,'Hypothèses et paramètres'!G6=1),'Hypothèses et paramètres'!G26*'Hypothèses et paramètres'!G31*'Offres de références'!G17*Calculs!F3/Calculs!F17/12))))</f>
        <v>2.0381471147329964</v>
      </c>
      <c r="F29" s="46">
        <f t="shared" si="0"/>
        <v>0.0433832932041932</v>
      </c>
    </row>
    <row r="30" spans="5:6" ht="11.25">
      <c r="E30" s="42"/>
      <c r="F30" s="46"/>
    </row>
    <row r="31" spans="3:6" ht="11.25">
      <c r="C31" s="8" t="s">
        <v>131</v>
      </c>
      <c r="D31" s="5" t="s">
        <v>130</v>
      </c>
      <c r="E31" s="42">
        <f>SUM(E21:E30)</f>
        <v>1142.0180271556064</v>
      </c>
      <c r="F31" s="46">
        <f>E31/$F$3</f>
        <v>24.308599982026532</v>
      </c>
    </row>
    <row r="33" spans="2:6" ht="11.25">
      <c r="B33" s="2" t="s">
        <v>101</v>
      </c>
      <c r="C33" s="20"/>
      <c r="D33" s="20"/>
      <c r="E33" s="38" t="s">
        <v>127</v>
      </c>
      <c r="F33" s="38" t="s">
        <v>128</v>
      </c>
    </row>
    <row r="34" spans="3:5" ht="11.25">
      <c r="C34" s="5" t="s">
        <v>132</v>
      </c>
      <c r="D34" s="5" t="s">
        <v>133</v>
      </c>
      <c r="E34" s="47">
        <f>'Hypothèses et paramètres'!G68/((1-(1+F16)^(-'Hypothèses et paramètres'!G69))/F16)/(1+F16)</f>
        <v>3362.718462325141</v>
      </c>
    </row>
    <row r="35" spans="3:6" ht="11.25">
      <c r="C35" s="5" t="s">
        <v>134</v>
      </c>
      <c r="D35" s="5" t="s">
        <v>133</v>
      </c>
      <c r="E35" s="47">
        <f>'Hypothèses et paramètres'!G68*'Hypothèses et paramètres'!G70</f>
        <v>940</v>
      </c>
      <c r="F35" s="47"/>
    </row>
    <row r="36" spans="3:6" ht="11.25">
      <c r="C36" s="8" t="s">
        <v>135</v>
      </c>
      <c r="D36" s="5" t="s">
        <v>130</v>
      </c>
      <c r="E36" s="42">
        <f>((E34+E35)/2/12)</f>
        <v>179.27993593021424</v>
      </c>
      <c r="F36" s="46">
        <f>E36/$F$3</f>
        <v>3.816090590255731</v>
      </c>
    </row>
    <row r="37" spans="3:6" ht="11.25">
      <c r="C37" s="5" t="s">
        <v>136</v>
      </c>
      <c r="D37" s="5" t="s">
        <v>137</v>
      </c>
      <c r="E37" s="48">
        <f>IF('Hypothèses et paramètres'!G10=1,(E34+E35)/'Hypothèses et paramètres'!G66/12,(E34+E35)/'Hypothèses et paramètres'!G67/12)</f>
        <v>2.8012489989095974</v>
      </c>
      <c r="F37" s="49"/>
    </row>
    <row r="38" spans="3:6" ht="11.25">
      <c r="C38" s="8" t="s">
        <v>138</v>
      </c>
      <c r="D38" s="5" t="s">
        <v>130</v>
      </c>
      <c r="E38" s="42">
        <f>E37*F6</f>
        <v>143.8057994887833</v>
      </c>
      <c r="F38" s="46">
        <f>E38/$F$3</f>
        <v>3.0610004148314878</v>
      </c>
    </row>
    <row r="39" spans="3:6" ht="11.25">
      <c r="C39" s="8"/>
      <c r="D39" s="8"/>
      <c r="E39" s="42"/>
      <c r="F39" s="50"/>
    </row>
    <row r="40" spans="3:6" ht="11.25">
      <c r="C40" s="8" t="s">
        <v>139</v>
      </c>
      <c r="D40" s="5" t="s">
        <v>130</v>
      </c>
      <c r="E40" s="42">
        <f>E36+E38</f>
        <v>323.0857354189975</v>
      </c>
      <c r="F40" s="46">
        <f>E40/$F$3</f>
        <v>6.877091005087219</v>
      </c>
    </row>
    <row r="41" spans="3:6" ht="11.25">
      <c r="C41" s="51"/>
      <c r="D41" s="51"/>
      <c r="E41" s="52"/>
      <c r="F41" s="45"/>
    </row>
    <row r="42" spans="2:6" ht="11.25">
      <c r="B42" s="2" t="s">
        <v>10</v>
      </c>
      <c r="C42" s="20"/>
      <c r="D42" s="4"/>
      <c r="E42" s="38" t="s">
        <v>127</v>
      </c>
      <c r="F42" s="38" t="s">
        <v>128</v>
      </c>
    </row>
    <row r="43" spans="2:5" ht="11.25">
      <c r="B43" s="8" t="s">
        <v>140</v>
      </c>
      <c r="C43" s="22"/>
      <c r="D43" s="22"/>
      <c r="E43" s="26"/>
    </row>
    <row r="44" spans="3:6" ht="11.25">
      <c r="C44" s="5" t="s">
        <v>141</v>
      </c>
      <c r="D44" s="5" t="s">
        <v>142</v>
      </c>
      <c r="E44" s="47">
        <f>'Hypothèses et paramètres'!G35/((1-(1+'Hypothèses et paramètres'!G74)^(-'Hypothèses et paramètres'!G36))/'Hypothèses et paramètres'!G74)/(1+'Hypothèses et paramètres'!G74)</f>
        <v>5648.60842282494</v>
      </c>
      <c r="F44" s="45"/>
    </row>
    <row r="45" spans="3:6" ht="11.25">
      <c r="C45" s="5" t="s">
        <v>143</v>
      </c>
      <c r="D45" s="5" t="s">
        <v>130</v>
      </c>
      <c r="E45" s="42">
        <f>(E44/12)*F10</f>
        <v>470.71736856874503</v>
      </c>
      <c r="F45" s="46">
        <f>E45/$F$3</f>
        <v>10.019526789458174</v>
      </c>
    </row>
    <row r="46" spans="3:6" ht="11.25">
      <c r="C46" s="5" t="s">
        <v>144</v>
      </c>
      <c r="D46" s="5" t="s">
        <v>130</v>
      </c>
      <c r="E46" s="42">
        <f>IF('Hypothèses et paramètres'!G3=1,'Offres de références'!F22/F18/12*F10,IF('Hypothèses et paramètres'!G3=2,'Offres de références'!G22/F18/12*F10))</f>
        <v>37.72018624739217</v>
      </c>
      <c r="F46" s="46">
        <f>E46/$F$3</f>
        <v>0.8028988132693098</v>
      </c>
    </row>
    <row r="47" spans="3:6" ht="11.25" hidden="1" outlineLevel="1">
      <c r="C47" s="5" t="s">
        <v>15</v>
      </c>
      <c r="E47" s="47">
        <f>IF('Hypothèses et paramètres'!$G$3=1,'Offres de références'!F23*Calculs!$F$10+'Offres de références'!$F$28*($F$10/12),IF('Hypothèses et paramètres'!$G$3=2,'Offres de références'!G23*Calculs!$F$10+'Offres de références'!$G$28*($F$10/12)))</f>
        <v>163.74416666666667</v>
      </c>
      <c r="F47" s="46"/>
    </row>
    <row r="48" spans="3:6" ht="11.25" hidden="1" outlineLevel="1">
      <c r="C48" s="5" t="s">
        <v>16</v>
      </c>
      <c r="E48" s="47">
        <f>IF('Hypothèses et paramètres'!$G$3=1,'Offres de références'!F24*Calculs!$F$10+'Offres de références'!$F$28*($F$10/12),IF('Hypothèses et paramètres'!$G$3=2,'Offres de références'!G24*Calculs!$F$10+'Offres de références'!$G$28*($F$10/12)))</f>
        <v>121.70333333333332</v>
      </c>
      <c r="F48" s="46"/>
    </row>
    <row r="49" spans="3:6" ht="11.25" hidden="1" outlineLevel="1">
      <c r="C49" s="5" t="s">
        <v>17</v>
      </c>
      <c r="E49" s="47">
        <f>IF('Hypothèses et paramètres'!$G$3=1,'Offres de références'!F25*Calculs!$F$10+'Offres de références'!$F$28*$F$10/12,IF('Hypothèses et paramètres'!$G$3=2,'Offres de références'!G25*Calculs!$F$10+'Offres de références'!$G$28*$F$10/12))</f>
        <v>105.75166666666667</v>
      </c>
      <c r="F49" s="46"/>
    </row>
    <row r="50" spans="3:6" ht="11.25" hidden="1" outlineLevel="1">
      <c r="C50" s="5" t="s">
        <v>18</v>
      </c>
      <c r="E50" s="47">
        <f>IF('Hypothèses et paramètres'!$G$3=1,'Offres de références'!F26*Calculs!$F$10+'Offres de références'!$F$28*$F$10/12,IF('Hypothèses et paramètres'!$G$3=2,'Offres de références'!G26*Calculs!$F$10+'Offres de références'!$G$28*$F$10/12))</f>
        <v>93.65333333333334</v>
      </c>
      <c r="F50" s="46"/>
    </row>
    <row r="51" spans="3:6" ht="11.25" hidden="1" outlineLevel="1">
      <c r="C51" s="5" t="s">
        <v>19</v>
      </c>
      <c r="E51" s="47">
        <f>IF('Hypothèses et paramètres'!$G$3=1,'Offres de références'!F27*Calculs!$F$10+'Offres de références'!$F$28*$F$10/12,IF('Hypothèses et paramètres'!$G$3=2,'Offres de références'!G27*Calculs!$F$10+'Offres de références'!$G$28*$F$10/12))</f>
        <v>93.65333333333334</v>
      </c>
      <c r="F51" s="46"/>
    </row>
    <row r="52" spans="3:8" s="27" customFormat="1" ht="11.25" collapsed="1">
      <c r="C52" s="27" t="s">
        <v>145</v>
      </c>
      <c r="D52" s="5" t="s">
        <v>130</v>
      </c>
      <c r="E52" s="53">
        <f>(IF('Hypothèses et paramètres'!G15=1,Calculs!E47,IF('Hypothèses et paramètres'!G15=2,Calculs!E48,IF('Hypothèses et paramètres'!G15=3,Calculs!E49,IF('Hypothèses et paramètres'!G15=4,Calculs!E50,IF('Hypothèses et paramètres'!G15=5,Calculs!E51))))))</f>
        <v>163.74416666666667</v>
      </c>
      <c r="F52" s="54">
        <f>E52/$F$3</f>
        <v>3.485401589328793</v>
      </c>
      <c r="H52" s="5"/>
    </row>
    <row r="53" spans="5:6" ht="11.25">
      <c r="E53" s="55"/>
      <c r="F53" s="46"/>
    </row>
    <row r="54" spans="2:4" ht="11.25">
      <c r="B54" s="8" t="s">
        <v>146</v>
      </c>
      <c r="D54" s="12"/>
    </row>
    <row r="55" spans="3:6" ht="11.25" hidden="1" outlineLevel="1">
      <c r="C55" s="5" t="s">
        <v>147</v>
      </c>
      <c r="D55" s="10"/>
      <c r="E55" s="47">
        <f>IF('Hypothèses et paramètres'!$G$3=1,'Offres de références'!F71+$F$6*'Offres de références'!F82,IF('Hypothèses et paramètres'!$G$3=2,'Offres de références'!G71+'Offres de références'!G82*Calculs!$F$6))</f>
        <v>64.65141064457032</v>
      </c>
      <c r="F55" s="56"/>
    </row>
    <row r="56" spans="3:6" ht="11.25" hidden="1" outlineLevel="1">
      <c r="C56" s="5" t="s">
        <v>148</v>
      </c>
      <c r="D56" s="13"/>
      <c r="E56" s="47">
        <f>IF('Hypothèses et paramètres'!$G$3=1,'Offres de références'!F72+$F$6*'Offres de références'!F83,IF('Hypothèses et paramètres'!$G$3=2,'Offres de références'!G72+'Offres de références'!G83*Calculs!$F$6))</f>
        <v>105.37053603869063</v>
      </c>
      <c r="F56" s="56"/>
    </row>
    <row r="57" spans="3:6" ht="11.25" hidden="1" outlineLevel="1">
      <c r="C57" s="5" t="s">
        <v>149</v>
      </c>
      <c r="D57" s="13"/>
      <c r="E57" s="47">
        <f>IF('Hypothèses et paramètres'!$G$3=1,'Offres de références'!F73+$F$6*'Offres de références'!F84,IF('Hypothèses et paramètres'!$G$3=2,'Offres de références'!G73+'Offres de références'!G84*Calculs!$F$6))</f>
        <v>105.37053603869063</v>
      </c>
      <c r="F57" s="56"/>
    </row>
    <row r="58" spans="3:6" ht="11.25" hidden="1" outlineLevel="1">
      <c r="C58" s="5" t="s">
        <v>150</v>
      </c>
      <c r="D58" s="13"/>
      <c r="E58" s="47">
        <f>IF('Hypothèses et paramètres'!$G$3=1,'Offres de références'!F74+$F$6*'Offres de références'!F85,IF('Hypothèses et paramètres'!$G$3=2,'Offres de références'!G74+'Offres de références'!G85*Calculs!$F$6))</f>
        <v>105.37053603869063</v>
      </c>
      <c r="F58" s="56"/>
    </row>
    <row r="59" spans="3:6" ht="11.25" hidden="1" outlineLevel="1">
      <c r="C59" s="5" t="s">
        <v>151</v>
      </c>
      <c r="D59" s="13"/>
      <c r="E59" s="47">
        <f>IF('Hypothèses et paramètres'!$G$3=1,'Offres de références'!F75+$F$6*'Offres de références'!F86,IF('Hypothèses et paramètres'!$G$3=2,'Offres de références'!G75+'Offres de références'!G86*Calculs!$F$6))</f>
        <v>105.37053603869063</v>
      </c>
      <c r="F59" s="56"/>
    </row>
    <row r="60" spans="3:6" ht="11.25" hidden="1" outlineLevel="1">
      <c r="C60" s="5" t="s">
        <v>152</v>
      </c>
      <c r="D60" s="13"/>
      <c r="E60" s="47">
        <f>IF('Hypothèses et paramètres'!$G$3=1,'Offres de références'!F76+$F$6*'Offres de références'!F87,IF('Hypothèses et paramètres'!$G$3=2,'Offres de références'!G76+'Offres de références'!G87*Calculs!$F$6))</f>
        <v>105.37053603869063</v>
      </c>
      <c r="F60" s="56"/>
    </row>
    <row r="61" spans="3:6" ht="11.25" hidden="1" outlineLevel="1">
      <c r="C61" s="5" t="s">
        <v>153</v>
      </c>
      <c r="D61" s="13"/>
      <c r="E61" s="47">
        <f>IF('Hypothèses et paramètres'!$G$3=1,'Offres de références'!F77+$F$6*'Offres de références'!F88,IF('Hypothèses et paramètres'!$G$3=2,'Offres de références'!G77+'Offres de références'!G88*Calculs!$F$6))</f>
        <v>105.37053603869063</v>
      </c>
      <c r="F61" s="56"/>
    </row>
    <row r="62" spans="3:6" ht="11.25" hidden="1" outlineLevel="1">
      <c r="C62" s="5" t="s">
        <v>154</v>
      </c>
      <c r="D62" s="13"/>
      <c r="E62" s="47">
        <f>IF('Hypothèses et paramètres'!$G$3=1,'Offres de références'!F78+$F$6*'Offres de références'!F89,IF('Hypothèses et paramètres'!$G$3=2,'Offres de références'!G78+'Offres de références'!G89*Calculs!$F$6))</f>
        <v>105.37053603869063</v>
      </c>
      <c r="F62" s="56"/>
    </row>
    <row r="63" spans="3:6" ht="11.25" hidden="1" outlineLevel="1">
      <c r="C63" s="5" t="s">
        <v>155</v>
      </c>
      <c r="D63" s="13"/>
      <c r="E63" s="47">
        <f>IF('Hypothèses et paramètres'!$G$3=1,'Offres de références'!F79+$F$6*'Offres de références'!F90,IF('Hypothèses et paramètres'!$G$3=2,'Offres de références'!G79+'Offres de références'!G90*Calculs!$F$6))</f>
        <v>105.37053603869063</v>
      </c>
      <c r="F63" s="56"/>
    </row>
    <row r="64" spans="3:8" s="8" customFormat="1" ht="11.25" collapsed="1">
      <c r="C64" s="5" t="s">
        <v>156</v>
      </c>
      <c r="D64" s="5" t="s">
        <v>130</v>
      </c>
      <c r="E64" s="42">
        <f>IF('Hypothèses et paramètres'!G16=1,Calculs!E55,IF('Hypothèses et paramètres'!G16=2,Calculs!E56,IF('Hypothèses et paramètres'!G16=3,Calculs!E57,IF(OR('Hypothèses et paramètres'!G16=4,'Hypothèses et paramètres'!G16=8),Calculs!E58,IF('Hypothèses et paramètres'!G16=5,Calculs!E59,IF('Hypothèses et paramètres'!G16=6,Calculs!E60,IF('Hypothèses et paramètres'!G16=7,Calculs!E61,IF('Hypothèses et paramètres'!G16=9,Calculs!E63,))))))))</f>
        <v>105.37053603869063</v>
      </c>
      <c r="F64" s="45">
        <f>E64/$F$3</f>
        <v>2.2428807160215123</v>
      </c>
      <c r="H64" s="5"/>
    </row>
    <row r="65" ht="11.25">
      <c r="F65" s="57"/>
    </row>
    <row r="66" spans="2:6" ht="11.25">
      <c r="B66" s="8" t="s">
        <v>74</v>
      </c>
      <c r="F66" s="57"/>
    </row>
    <row r="67" spans="3:6" ht="11.25">
      <c r="C67" s="10" t="s">
        <v>157</v>
      </c>
      <c r="D67" s="5" t="s">
        <v>130</v>
      </c>
      <c r="E67" s="42">
        <f>('Hypothèses et paramètres'!G51/((1-(1+'Hypothèses et paramètres'!G74)^(-'Hypothèses et paramètres'!G52))/'Hypothèses et paramètres'!G74)/(1+'Hypothèses et paramètres'!G74))/12/6*F10+'Hypothèses et paramètres'!G53/6/12*F10</f>
        <v>208.11203132546905</v>
      </c>
      <c r="F67" s="46">
        <f>E67/Calculs!$F$3</f>
        <v>4.429800581640466</v>
      </c>
    </row>
    <row r="68" ht="11.25">
      <c r="F68" s="57"/>
    </row>
    <row r="69" spans="2:6" ht="11.25">
      <c r="B69" s="8" t="s">
        <v>158</v>
      </c>
      <c r="C69" s="22"/>
      <c r="D69" s="22"/>
      <c r="E69" s="26"/>
      <c r="F69" s="57"/>
    </row>
    <row r="70" spans="3:5" ht="11.25">
      <c r="C70" s="5" t="s">
        <v>159</v>
      </c>
      <c r="D70" s="10" t="s">
        <v>160</v>
      </c>
      <c r="E70" s="47">
        <f>'Hypothèses et paramètres'!G56*F5</f>
        <v>93.96</v>
      </c>
    </row>
    <row r="71" spans="3:5" ht="11.25">
      <c r="C71" s="5" t="s">
        <v>161</v>
      </c>
      <c r="D71" s="5" t="s">
        <v>162</v>
      </c>
      <c r="E71" s="47">
        <f>(IF('Hypothèses et paramètres'!G17=2,IF('Hypothèses et paramètres'!G3=1,'Offres de références'!F31,'Offres de références'!G31),IF('Hypothèses et paramètres'!G3=1,'Offres de références'!F32,'Offres de références'!G32)))/12</f>
        <v>122.90416666666665</v>
      </c>
    </row>
    <row r="72" spans="3:6" ht="11.25">
      <c r="C72" s="8" t="s">
        <v>163</v>
      </c>
      <c r="D72" s="5" t="s">
        <v>130</v>
      </c>
      <c r="E72" s="42">
        <f>(E71*E70/1000)</f>
        <v>11.548075499999998</v>
      </c>
      <c r="F72" s="45">
        <f>E72/Calculs!$F$3</f>
        <v>0.2458083333333333</v>
      </c>
    </row>
    <row r="73" spans="3:6" ht="11.25">
      <c r="C73" s="31" t="s">
        <v>164</v>
      </c>
      <c r="D73" s="5" t="s">
        <v>130</v>
      </c>
      <c r="E73" s="42">
        <f>IF('Hypothèses et paramètres'!G17=2,IF('Hypothèses et paramètres'!G3=1,(E71-E71/2)+'Offres de références'!F33*'Hypothèses et paramètres'!G57/12,(E71-E71/2)+'Offres de références'!G33*'Hypothèses et paramètres'!G57/12),IF('Hypothèses et paramètres'!G3=1,(E71-E71/2)+'Offres de références'!F33*'Hypothèses et paramètres'!G57/12,(E71-E71/2)+'Offres de références'!G33*'Hypothèses et paramètres'!G57/12))</f>
        <v>103.11874999999999</v>
      </c>
      <c r="F73" s="45">
        <f>E73/Calculs!$F$3</f>
        <v>2.1949499787143467</v>
      </c>
    </row>
    <row r="74" spans="3:6" ht="11.25">
      <c r="C74" s="10" t="s">
        <v>165</v>
      </c>
      <c r="D74" s="5" t="s">
        <v>130</v>
      </c>
      <c r="E74" s="42">
        <f>E72+E73</f>
        <v>114.66682549999999</v>
      </c>
      <c r="F74" s="46">
        <f>E74/Calculs!$F$3</f>
        <v>2.44075831204768</v>
      </c>
    </row>
    <row r="75" spans="3:6" ht="11.25">
      <c r="C75" s="10"/>
      <c r="E75" s="42"/>
      <c r="F75" s="45"/>
    </row>
    <row r="76" spans="2:6" ht="11.25">
      <c r="B76" s="8" t="s">
        <v>166</v>
      </c>
      <c r="D76" s="5" t="s">
        <v>130</v>
      </c>
      <c r="E76" s="40">
        <f>E64+E74+E52+E46+E45+E67</f>
        <v>1100.3311143469637</v>
      </c>
      <c r="F76" s="45">
        <f>E76/Calculs!$F$3</f>
        <v>23.42126680176594</v>
      </c>
    </row>
    <row r="77" ht="11.25">
      <c r="F77" s="57"/>
    </row>
    <row r="78" spans="2:6" ht="11.25">
      <c r="B78" s="2" t="s">
        <v>50</v>
      </c>
      <c r="C78" s="20"/>
      <c r="D78" s="4"/>
      <c r="E78" s="38" t="s">
        <v>127</v>
      </c>
      <c r="F78" s="38" t="s">
        <v>128</v>
      </c>
    </row>
    <row r="79" ht="11.25">
      <c r="B79" s="8" t="s">
        <v>167</v>
      </c>
    </row>
    <row r="80" spans="3:6" ht="11.25">
      <c r="C80" s="5" t="s">
        <v>144</v>
      </c>
      <c r="D80" s="5" t="s">
        <v>130</v>
      </c>
      <c r="E80" s="42">
        <f>IF('Hypothèses et paramètres'!G3=1,('Offres de références'!F101+'Offres de références'!F100)*F10,IF('Hypothèses et paramètres'!G3=2,('Offres de références'!G101+'Offres de références'!G100)*F10))/F18/12</f>
        <v>84.27786675920926</v>
      </c>
      <c r="F80" s="45">
        <f>E80/$F$3</f>
        <v>1.7939094669904059</v>
      </c>
    </row>
    <row r="81" spans="3:5" ht="11.25" hidden="1" outlineLevel="1">
      <c r="C81" s="5" t="s">
        <v>15</v>
      </c>
      <c r="E81" s="47">
        <f>IF('Hypothèses et paramètres'!$G$3=1,'Offres de références'!F102*Calculs!$F$10,IF('Hypothèses et paramètres'!$G$3=2,'Offres de références'!G102*Calculs!$F$10))</f>
        <v>249.42</v>
      </c>
    </row>
    <row r="82" spans="3:5" ht="11.25" hidden="1" outlineLevel="1">
      <c r="C82" s="5" t="s">
        <v>16</v>
      </c>
      <c r="E82" s="47">
        <f>IF('Hypothèses et paramètres'!$G$3=1,'Offres de références'!F103*Calculs!$F$10,IF('Hypothèses et paramètres'!$G$3=2,'Offres de références'!G103*Calculs!$F$10))</f>
        <v>205.72</v>
      </c>
    </row>
    <row r="83" spans="3:5" ht="11.25" hidden="1" outlineLevel="1">
      <c r="C83" s="5" t="s">
        <v>17</v>
      </c>
      <c r="E83" s="47">
        <f>IF('Hypothèses et paramètres'!$G$3=1,'Offres de références'!F104*Calculs!$F$10,IF('Hypothèses et paramètres'!$G$3=2,'Offres de références'!G104*Calculs!$F$10))</f>
        <v>192.05</v>
      </c>
    </row>
    <row r="84" spans="3:5" ht="11.25" hidden="1" outlineLevel="1">
      <c r="C84" s="5" t="s">
        <v>18</v>
      </c>
      <c r="E84" s="47">
        <f>IF('Hypothèses et paramètres'!$G$3=1,'Offres de références'!F105*Calculs!$F$10,IF('Hypothèses et paramètres'!$G$3=2,'Offres de références'!G105*Calculs!$F$10))</f>
        <v>181.68</v>
      </c>
    </row>
    <row r="85" spans="3:5" ht="11.25" hidden="1" outlineLevel="1">
      <c r="C85" s="5" t="s">
        <v>19</v>
      </c>
      <c r="E85" s="47">
        <f>IF('Hypothèses et paramètres'!$G$3=1,'Offres de références'!F106*Calculs!$F$10,IF('Hypothèses et paramètres'!$G$3=2,'Offres de références'!G106*Calculs!$F$10))</f>
        <v>181.68</v>
      </c>
    </row>
    <row r="86" spans="3:6" ht="11.25" collapsed="1">
      <c r="C86" s="27" t="s">
        <v>145</v>
      </c>
      <c r="D86" s="5" t="s">
        <v>130</v>
      </c>
      <c r="E86" s="42">
        <f>IF('Hypothèses et paramètres'!G15=1,Calculs!E81,IF('Hypothèses et paramètres'!G15=2,Calculs!E82,IF('Hypothèses et paramètres'!G15=3,Calculs!E83,IF('Hypothèses et paramètres'!G15=4,Calculs!E84,IF('Hypothèses et paramètres'!G15=5,Calculs!E85)))))</f>
        <v>249.42</v>
      </c>
      <c r="F86" s="45">
        <f>E86/$F$3</f>
        <v>5.3090676883780334</v>
      </c>
    </row>
    <row r="87" spans="5:6" ht="11.25">
      <c r="E87" s="42"/>
      <c r="F87" s="45"/>
    </row>
    <row r="88" spans="2:4" ht="11.25">
      <c r="B88" s="8" t="s">
        <v>168</v>
      </c>
      <c r="D88" s="12"/>
    </row>
    <row r="89" spans="3:6" ht="11.25" hidden="1" outlineLevel="1">
      <c r="C89" s="5" t="s">
        <v>147</v>
      </c>
      <c r="D89" s="10"/>
      <c r="E89" s="47">
        <f>IF('Hypothèses et paramètres'!$G$3=1,'Offres de références'!F155+'Offres de références'!F166*Calculs!$F$6,IF('Hypothèses et paramètres'!$G$3=2,'Offres de références'!G155+'Offres de références'!G166*Calculs!$F$6))</f>
        <v>51.55893682344687</v>
      </c>
      <c r="F89" s="48">
        <f>E89/$F$3</f>
        <v>1.097465662482905</v>
      </c>
    </row>
    <row r="90" spans="3:6" ht="11.25" hidden="1" outlineLevel="1">
      <c r="C90" s="5" t="s">
        <v>148</v>
      </c>
      <c r="D90" s="13"/>
      <c r="E90" s="47">
        <f>IF('Hypothèses et paramètres'!$G$3=1,'Offres de références'!F156+'Offres de références'!F167*Calculs!$F$6,IF('Hypothèses et paramètres'!$G$3=2,'Offres de références'!G156+'Offres de références'!G167*Calculs!$F$6))</f>
        <v>92.28707286713438</v>
      </c>
      <c r="F90" s="48">
        <f>E90/$F$3</f>
        <v>1.9643906527699955</v>
      </c>
    </row>
    <row r="91" spans="3:6" ht="11.25" hidden="1" outlineLevel="1">
      <c r="C91" s="5" t="s">
        <v>149</v>
      </c>
      <c r="D91" s="13"/>
      <c r="E91" s="47">
        <f>IF('Hypothèses et paramètres'!$G$3=1,'Offres de références'!F157+'Offres de références'!F168*Calculs!$F$6,IF('Hypothèses et paramètres'!$G$3=2,'Offres de références'!G157+'Offres de références'!G168*Calculs!$F$6))</f>
        <v>92.28707286713438</v>
      </c>
      <c r="F91" s="48">
        <f>E91/$F$3</f>
        <v>1.9643906527699955</v>
      </c>
    </row>
    <row r="92" spans="3:6" ht="11.25" hidden="1" outlineLevel="1">
      <c r="C92" s="5" t="s">
        <v>150</v>
      </c>
      <c r="D92" s="13"/>
      <c r="E92" s="47">
        <f>IF('Hypothèses et paramètres'!$G$3=1,'Offres de références'!F158+'Offres de références'!F169*Calculs!$F$6,IF('Hypothèses et paramètres'!$G$3=2,'Offres de références'!G158+'Offres de références'!G169*Calculs!$F$6))</f>
        <v>92.28707286713438</v>
      </c>
      <c r="F92" s="48">
        <f>E92/$F$3</f>
        <v>1.9643906527699955</v>
      </c>
    </row>
    <row r="93" spans="3:6" ht="11.25" hidden="1" outlineLevel="1">
      <c r="C93" s="5" t="s">
        <v>151</v>
      </c>
      <c r="D93" s="13"/>
      <c r="E93" s="47">
        <f>IF('Hypothèses et paramètres'!$G$3=1,'Offres de références'!F159+'Offres de références'!F170*Calculs!$F$6,IF('Hypothèses et paramètres'!$G$3=2,'Offres de références'!G159+'Offres de références'!G170*Calculs!$F$6))</f>
        <v>92.28707286713438</v>
      </c>
      <c r="F93" s="48">
        <f>E93/$F$3</f>
        <v>1.9643906527699955</v>
      </c>
    </row>
    <row r="94" spans="3:6" ht="11.25" hidden="1" outlineLevel="1">
      <c r="C94" s="5" t="s">
        <v>152</v>
      </c>
      <c r="D94" s="13"/>
      <c r="E94" s="47">
        <f>IF('Hypothèses et paramètres'!$G$3=1,'Offres de références'!F160+'Offres de références'!F171*Calculs!$F$6,IF('Hypothèses et paramètres'!$G$3=2,'Offres de références'!G160+'Offres de références'!G171*Calculs!$F$6))</f>
        <v>92.28707286713438</v>
      </c>
      <c r="F94" s="48">
        <f>E94/$F$5</f>
        <v>1.9643906527699955</v>
      </c>
    </row>
    <row r="95" spans="3:6" ht="11.25" hidden="1" outlineLevel="1">
      <c r="C95" s="5" t="s">
        <v>153</v>
      </c>
      <c r="D95" s="13"/>
      <c r="E95" s="47">
        <f>IF('Hypothèses et paramètres'!$G$3=1,'Offres de références'!F161+'Offres de références'!F172*Calculs!$F$6,IF('Hypothèses et paramètres'!$G$3=2,'Offres de références'!G161+'Offres de références'!G172*Calculs!$F$6))</f>
        <v>92.28707286713438</v>
      </c>
      <c r="F95" s="48">
        <f>E95/$F$5</f>
        <v>1.9643906527699955</v>
      </c>
    </row>
    <row r="96" spans="3:6" ht="11.25" hidden="1" outlineLevel="1">
      <c r="C96" s="5" t="s">
        <v>154</v>
      </c>
      <c r="D96" s="13"/>
      <c r="E96" s="47">
        <f>IF('Hypothèses et paramètres'!$G$3=1,'Offres de références'!F162+'Offres de références'!F173*Calculs!$F$6,IF('Hypothèses et paramètres'!$G$3=2,'Offres de références'!G162+'Offres de références'!G173*Calculs!$F$6))</f>
        <v>92.28707286713438</v>
      </c>
      <c r="F96" s="48">
        <f>E96/$F$3</f>
        <v>1.9643906527699955</v>
      </c>
    </row>
    <row r="97" spans="3:6" ht="11.25" hidden="1" outlineLevel="1">
      <c r="C97" s="5" t="s">
        <v>155</v>
      </c>
      <c r="D97" s="13"/>
      <c r="E97" s="47">
        <f>IF('Hypothèses et paramètres'!$G$3=1,'Offres de références'!F163+'Offres de références'!F174*Calculs!$F$6,IF('Hypothèses et paramètres'!$G$3=2,'Offres de références'!G163+'Offres de références'!G174*Calculs!$F$6))</f>
        <v>92.28707286713438</v>
      </c>
      <c r="F97" s="48">
        <f>E97/$F$3</f>
        <v>1.9643906527699955</v>
      </c>
    </row>
    <row r="98" spans="3:8" s="8" customFormat="1" ht="11.25" collapsed="1">
      <c r="C98" s="5" t="s">
        <v>169</v>
      </c>
      <c r="D98" s="5" t="s">
        <v>130</v>
      </c>
      <c r="E98" s="42">
        <f>IF('Hypothèses et paramètres'!G16=1,Calculs!E89,IF('Hypothèses et paramètres'!G16=2,Calculs!E90,IF('Hypothèses et paramètres'!G16=3,Calculs!E91,IF(OR('Hypothèses et paramètres'!G16=4,'Hypothèses et paramètres'!G16=8),Calculs!E92,IF('Hypothèses et paramètres'!G16=5,Calculs!E93,IF('Hypothèses et paramètres'!G16=6,Calculs!E94,IF('Hypothèses et paramètres'!G16=7,Calculs!E95,IF('Hypothèses et paramètres'!G16=9,Calculs!E97,))))))))</f>
        <v>92.28707286713438</v>
      </c>
      <c r="F98" s="45">
        <f>E98/$F$3</f>
        <v>1.9643906527699955</v>
      </c>
      <c r="H98" s="5"/>
    </row>
    <row r="99" ht="11.25">
      <c r="F99" s="49"/>
    </row>
    <row r="100" spans="2:6" ht="11.25">
      <c r="B100" s="8" t="s">
        <v>21</v>
      </c>
      <c r="C100" s="22"/>
      <c r="D100" s="22"/>
      <c r="E100" s="26"/>
      <c r="F100" s="49"/>
    </row>
    <row r="101" spans="3:6" ht="11.25">
      <c r="C101" s="5" t="s">
        <v>159</v>
      </c>
      <c r="D101" s="10" t="s">
        <v>160</v>
      </c>
      <c r="E101" s="47">
        <f>'Hypothèses et paramètres'!G56*F5</f>
        <v>93.96</v>
      </c>
      <c r="F101" s="49"/>
    </row>
    <row r="102" spans="3:6" ht="11.25">
      <c r="C102" s="5" t="s">
        <v>170</v>
      </c>
      <c r="D102" s="5" t="s">
        <v>171</v>
      </c>
      <c r="E102" s="47">
        <f>IF('Hypothèses et paramètres'!G3=1,IF('Hypothèses et paramètres'!G17=1,'Offres de références'!F112/2+'Offres de références'!F116,IF('Hypothèses et paramètres'!G17=2,'Offres de références'!F111/2+'Offres de références'!F115)),IF('Hypothèses et paramètres'!G3=2,IF('Hypothèses et paramètres'!G17=1,'Offres de références'!G112/2+'Offres de références'!G116,IF('Hypothèses et paramètres'!G17=2,'Offres de références'!G111/2+'Offres de références'!G115))))</f>
        <v>160.56541666666666</v>
      </c>
      <c r="F102" s="49"/>
    </row>
    <row r="103" spans="3:6" ht="11.25">
      <c r="C103" s="8" t="s">
        <v>172</v>
      </c>
      <c r="D103" s="5" t="s">
        <v>130</v>
      </c>
      <c r="E103" s="42">
        <f>E102*E101/1000</f>
        <v>15.08672655</v>
      </c>
      <c r="F103" s="46">
        <f>E103/$F$3</f>
        <v>0.32113083333333337</v>
      </c>
    </row>
    <row r="104" spans="3:6" ht="11.25">
      <c r="C104" s="31" t="s">
        <v>164</v>
      </c>
      <c r="D104" s="5" t="s">
        <v>130</v>
      </c>
      <c r="E104" s="42">
        <f>IF('Hypothèses et paramètres'!G3=1,E102/2+'Offres de références'!F117*'Hypothèses et paramètres'!G57/12,E102/2+'Offres de références'!G117*'Hypothèses et paramètres'!G57/12)</f>
        <v>121.949375</v>
      </c>
      <c r="F104" s="46">
        <f>E104/$F$3</f>
        <v>2.5957721370796087</v>
      </c>
    </row>
    <row r="105" spans="3:6" ht="11.25">
      <c r="C105" s="31" t="s">
        <v>165</v>
      </c>
      <c r="D105" s="5" t="s">
        <v>130</v>
      </c>
      <c r="E105" s="42">
        <f>E102*E101/1000+E104</f>
        <v>137.03610155</v>
      </c>
      <c r="F105" s="46">
        <f>E105/$F$3</f>
        <v>2.9169029704129423</v>
      </c>
    </row>
    <row r="106" spans="3:6" ht="11.25">
      <c r="C106" s="10"/>
      <c r="E106" s="47"/>
      <c r="F106" s="49"/>
    </row>
    <row r="107" spans="2:6" ht="11.25">
      <c r="B107" s="8" t="s">
        <v>173</v>
      </c>
      <c r="D107" s="5" t="s">
        <v>130</v>
      </c>
      <c r="E107" s="40">
        <f>E98+E105+E86+E80</f>
        <v>563.0210411763436</v>
      </c>
      <c r="F107" s="46">
        <f>E107/Calculs!$F$3</f>
        <v>11.984270778551377</v>
      </c>
    </row>
    <row r="109" spans="2:6" ht="11.25">
      <c r="B109" s="2" t="s">
        <v>174</v>
      </c>
      <c r="C109" s="20"/>
      <c r="D109" s="20"/>
      <c r="E109" s="38" t="s">
        <v>127</v>
      </c>
      <c r="F109" s="38" t="s">
        <v>128</v>
      </c>
    </row>
    <row r="110" spans="3:6" ht="11.25">
      <c r="C110" s="5" t="s">
        <v>129</v>
      </c>
      <c r="D110" s="5" t="s">
        <v>130</v>
      </c>
      <c r="E110" s="42">
        <f>(IF('Hypothèses et paramètres'!G3=1,F13*'Offres de références'!F177/F18/12,IF('Hypothèses et paramètres'!G3=2,F13*'Offres de références'!G177/F18/12)))</f>
        <v>11.110355576683624</v>
      </c>
      <c r="F110" s="46">
        <f>E110/$F$3</f>
        <v>0.2364911787288979</v>
      </c>
    </row>
    <row r="111" spans="3:6" ht="11.25">
      <c r="C111" s="5" t="s">
        <v>175</v>
      </c>
      <c r="D111" s="5" t="s">
        <v>130</v>
      </c>
      <c r="E111" s="42">
        <f>(IF('Hypothèses et paramètres'!G3=1,F13*'Offres de références'!F178,IF('Hypothèses et paramètres'!G3=2,F13*'Offres de références'!G178)))</f>
        <v>60.875</v>
      </c>
      <c r="F111" s="46">
        <f>E111/$F$3</f>
        <v>1.2957641549595573</v>
      </c>
    </row>
    <row r="112" spans="3:6" ht="11.25">
      <c r="C112" s="5" t="s">
        <v>176</v>
      </c>
      <c r="D112" s="5" t="s">
        <v>130</v>
      </c>
      <c r="E112" s="42">
        <f>SUM(E110:E111)</f>
        <v>71.98535557668362</v>
      </c>
      <c r="F112" s="46">
        <f>E112/$F$3</f>
        <v>1.532255333688455</v>
      </c>
    </row>
    <row r="113" ht="11.25">
      <c r="E113" s="42"/>
    </row>
    <row r="114" spans="2:6" ht="11.25">
      <c r="B114" s="2" t="s">
        <v>177</v>
      </c>
      <c r="C114" s="20"/>
      <c r="D114" s="20"/>
      <c r="E114" s="38" t="s">
        <v>127</v>
      </c>
      <c r="F114" s="38" t="s">
        <v>128</v>
      </c>
    </row>
    <row r="115" spans="3:6" ht="11.25">
      <c r="C115" s="5" t="s">
        <v>178</v>
      </c>
      <c r="D115" s="5" t="s">
        <v>130</v>
      </c>
      <c r="E115" s="42">
        <f>IF('Hypothèses et paramètres'!$F$14=1,E112+E76+E40+E31,IF('Hypothèses et paramètres'!$F$14=2,E112+E107+E40+E31))</f>
        <v>2100.110159327631</v>
      </c>
      <c r="F115" s="46">
        <f>E115/$F$3</f>
        <v>44.70221709935358</v>
      </c>
    </row>
    <row r="116" ht="11.25">
      <c r="E116" s="42"/>
    </row>
    <row r="117" spans="2:8" s="1" customFormat="1" ht="12.75">
      <c r="B117" s="2" t="s">
        <v>179</v>
      </c>
      <c r="C117" s="3"/>
      <c r="D117" s="4"/>
      <c r="E117" s="38" t="s">
        <v>127</v>
      </c>
      <c r="F117" s="38" t="s">
        <v>128</v>
      </c>
      <c r="H117" s="5"/>
    </row>
    <row r="118" spans="2:8" s="1" customFormat="1" ht="12.75">
      <c r="B118" s="5"/>
      <c r="C118" s="5" t="s">
        <v>180</v>
      </c>
      <c r="D118" s="5" t="s">
        <v>130</v>
      </c>
      <c r="E118" s="40">
        <f>(E115+E40*'Hypothèses et paramètres'!$G$78)*'Hypothèses et paramètres'!$G$79</f>
        <v>233.39325939607744</v>
      </c>
      <c r="F118" s="91">
        <f>(F115+F40*'Hypothèses et paramètres'!$G$78)*'Hypothèses et paramètres'!$G$79</f>
        <v>4.967928041636387</v>
      </c>
      <c r="G118" s="46"/>
      <c r="H118" s="5"/>
    </row>
    <row r="119" spans="2:8" s="1" customFormat="1" ht="12.75">
      <c r="B119" s="5"/>
      <c r="C119" s="5" t="s">
        <v>181</v>
      </c>
      <c r="D119" s="5" t="s">
        <v>130</v>
      </c>
      <c r="E119" s="40">
        <f>(E40+E118)*'Hypothèses et paramètres'!$G$78</f>
        <v>37.28409265261002</v>
      </c>
      <c r="F119" s="91">
        <f>(F40+F118)*'Hypothèses et paramètres'!$G$78</f>
        <v>0.7936162761304817</v>
      </c>
      <c r="G119" s="46"/>
      <c r="H119" s="5"/>
    </row>
    <row r="120" ht="11.25">
      <c r="E120" s="26"/>
    </row>
    <row r="121" spans="2:6" ht="11.25">
      <c r="B121" s="2" t="s">
        <v>182</v>
      </c>
      <c r="C121" s="20"/>
      <c r="D121" s="20"/>
      <c r="E121" s="38" t="s">
        <v>127</v>
      </c>
      <c r="F121" s="38" t="s">
        <v>128</v>
      </c>
    </row>
    <row r="122" spans="3:7" ht="11.25">
      <c r="C122" s="5" t="s">
        <v>178</v>
      </c>
      <c r="D122" s="5" t="s">
        <v>130</v>
      </c>
      <c r="E122" s="42">
        <f>E115+E119+E118</f>
        <v>2370.787511376319</v>
      </c>
      <c r="F122" s="46">
        <f>F115+F119+F118</f>
        <v>50.46376141712045</v>
      </c>
      <c r="G122" s="46"/>
    </row>
    <row r="124" ht="11.25">
      <c r="F124" s="49"/>
    </row>
  </sheetData>
  <printOptions/>
  <pageMargins left="0.75" right="0.75" top="0.53" bottom="0.63" header="0.37" footer="0.4921259845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tabSelected="1" workbookViewId="0" topLeftCell="A1">
      <selection activeCell="G56" sqref="G56"/>
    </sheetView>
  </sheetViews>
  <sheetFormatPr defaultColWidth="11.421875" defaultRowHeight="12.75"/>
  <cols>
    <col min="1" max="1" width="2.00390625" style="5" customWidth="1"/>
    <col min="2" max="2" width="4.57421875" style="5" customWidth="1"/>
    <col min="3" max="3" width="11.421875" style="5" customWidth="1"/>
    <col min="4" max="4" width="14.28125" style="5" customWidth="1"/>
    <col min="5" max="5" width="11.421875" style="5" customWidth="1"/>
    <col min="6" max="6" width="13.00390625" style="5" customWidth="1"/>
    <col min="7" max="7" width="19.8515625" style="5" customWidth="1"/>
    <col min="8" max="8" width="15.8515625" style="5" bestFit="1" customWidth="1"/>
    <col min="9" max="9" width="14.57421875" style="5" customWidth="1"/>
    <col min="10" max="16384" width="11.421875" style="5" customWidth="1"/>
  </cols>
  <sheetData>
    <row r="1" ht="4.5" customHeight="1"/>
    <row r="2" spans="2:9" s="1" customFormat="1" ht="12.75">
      <c r="B2" s="2" t="s">
        <v>183</v>
      </c>
      <c r="C2" s="3"/>
      <c r="D2" s="3"/>
      <c r="E2" s="3"/>
      <c r="F2" s="58"/>
      <c r="G2" s="58"/>
      <c r="H2" s="58"/>
      <c r="I2" s="58"/>
    </row>
    <row r="3" spans="3:11" s="1" customFormat="1" ht="12.75">
      <c r="C3" s="51" t="s">
        <v>231</v>
      </c>
      <c r="D3" s="59"/>
      <c r="E3" s="60" t="str">
        <f>IF('Hypothèses et paramètres'!G3=1,"Mars 05","Juillet 05")</f>
        <v>Juillet 05</v>
      </c>
      <c r="G3" s="51" t="s">
        <v>244</v>
      </c>
      <c r="I3" s="60" t="str">
        <f>IF(AND('Hypothèses et paramètres'!G6=1,'Hypothèses et paramètres'!G7=1),"Total par création de ligne","Total sans création de ligne")</f>
        <v>Total par création de ligne</v>
      </c>
      <c r="J3" s="59"/>
      <c r="K3" s="59"/>
    </row>
    <row r="4" spans="3:11" s="1" customFormat="1" ht="12.75">
      <c r="C4" s="51" t="s">
        <v>232</v>
      </c>
      <c r="D4" s="59"/>
      <c r="E4" s="62">
        <f>'Hypothèses et paramètres'!G13</f>
        <v>20000</v>
      </c>
      <c r="G4" s="51" t="s">
        <v>243</v>
      </c>
      <c r="I4" s="60" t="str">
        <f>IF('Hypothèses et paramètres'!G7*'Hypothèses et paramètres'!G27=0,"non","oui")</f>
        <v>oui</v>
      </c>
      <c r="J4" s="59"/>
      <c r="K4" s="59"/>
    </row>
    <row r="5" spans="3:11" s="1" customFormat="1" ht="12.75">
      <c r="C5" s="51" t="s">
        <v>233</v>
      </c>
      <c r="D5" s="59"/>
      <c r="E5" s="62">
        <f>E4*'Hypothèses et paramètres'!G20</f>
        <v>360</v>
      </c>
      <c r="G5" s="51" t="s">
        <v>242</v>
      </c>
      <c r="I5" s="60">
        <f>'Hypothèses et paramètres'!G26</f>
        <v>1</v>
      </c>
      <c r="J5" s="59"/>
      <c r="K5" s="59"/>
    </row>
    <row r="6" spans="3:11" s="1" customFormat="1" ht="12.75">
      <c r="C6" s="51" t="s">
        <v>234</v>
      </c>
      <c r="D6" s="59"/>
      <c r="E6" s="64">
        <f>'Hypothèses et paramètres'!G21</f>
        <v>0.87</v>
      </c>
      <c r="G6" s="51" t="s">
        <v>241</v>
      </c>
      <c r="I6" s="60" t="str">
        <f>IF('Hypothèses et paramètres'!G8=0,"Sans GTR optionelle",IF('Hypothèses et paramètres'!G8=1,"GTR 4H ouvrées",IF('Hypothèses et paramètres'!G8=2,"GTR 4H 24/24 &amp; 7/7")))</f>
        <v>GTR 4H ouvrées</v>
      </c>
      <c r="J6" s="59"/>
      <c r="K6" s="59"/>
    </row>
    <row r="7" spans="3:11" s="1" customFormat="1" ht="12.75">
      <c r="C7" s="51" t="s">
        <v>235</v>
      </c>
      <c r="D7" s="59"/>
      <c r="E7" s="64">
        <f>'Hypothèses et paramètres'!G22</f>
        <v>0.15</v>
      </c>
      <c r="G7" s="51" t="s">
        <v>240</v>
      </c>
      <c r="I7" s="60" t="str">
        <f>IF('Hypothèses et paramètres'!G9=0,"non","oui")</f>
        <v>oui</v>
      </c>
      <c r="J7" s="59"/>
      <c r="K7" s="59"/>
    </row>
    <row r="8" spans="3:12" s="1" customFormat="1" ht="6" customHeight="1">
      <c r="C8" s="51"/>
      <c r="D8" s="59"/>
      <c r="E8" s="59"/>
      <c r="F8" s="59"/>
      <c r="G8" s="59"/>
      <c r="H8" s="59"/>
      <c r="I8" s="60"/>
      <c r="L8" s="61"/>
    </row>
    <row r="9" spans="2:8" s="1" customFormat="1" ht="12.75">
      <c r="B9" s="5"/>
      <c r="C9" s="51" t="s">
        <v>236</v>
      </c>
      <c r="D9" s="59"/>
      <c r="E9" s="60" t="str">
        <f>IF('Hypothèses et paramètres'!F14=1,"Salle","Espace")</f>
        <v>Espace</v>
      </c>
      <c r="H9" s="59"/>
    </row>
    <row r="10" spans="2:8" s="1" customFormat="1" ht="12.75">
      <c r="B10" s="5"/>
      <c r="C10" s="51" t="s">
        <v>237</v>
      </c>
      <c r="D10" s="59"/>
      <c r="E10" s="63">
        <f>'Hypothèses et paramètres'!G15</f>
        <v>1</v>
      </c>
      <c r="H10" s="59"/>
    </row>
    <row r="11" spans="2:8" s="1" customFormat="1" ht="12.75">
      <c r="B11" s="5"/>
      <c r="C11" s="51" t="s">
        <v>238</v>
      </c>
      <c r="D11" s="59"/>
      <c r="E11" s="60">
        <f>'Hypothèses et paramètres'!G16</f>
        <v>2</v>
      </c>
      <c r="H11" s="59"/>
    </row>
    <row r="12" spans="2:8" s="1" customFormat="1" ht="12.75">
      <c r="B12" s="5"/>
      <c r="C12" s="51" t="s">
        <v>239</v>
      </c>
      <c r="D12" s="59"/>
      <c r="E12" s="60" t="str">
        <f>IF('Hypothèses et paramètres'!G17=1,"Oui","Non")</f>
        <v>Non</v>
      </c>
      <c r="H12" s="59"/>
    </row>
    <row r="13" spans="3:8" s="1" customFormat="1" ht="3.75" customHeight="1">
      <c r="C13" s="51"/>
      <c r="D13" s="59"/>
      <c r="E13" s="60"/>
      <c r="H13" s="59"/>
    </row>
    <row r="14" spans="2:9" ht="11.25">
      <c r="B14" s="2" t="s">
        <v>184</v>
      </c>
      <c r="C14" s="20"/>
      <c r="D14" s="20"/>
      <c r="E14" s="20"/>
      <c r="F14" s="20"/>
      <c r="G14" s="20"/>
      <c r="H14" s="2" t="s">
        <v>127</v>
      </c>
      <c r="I14" s="2" t="s">
        <v>128</v>
      </c>
    </row>
    <row r="15" spans="3:10" ht="12.75">
      <c r="C15" s="5" t="s">
        <v>185</v>
      </c>
      <c r="D15" s="1"/>
      <c r="E15" s="1"/>
      <c r="F15" s="1"/>
      <c r="G15" s="1"/>
      <c r="H15" s="31">
        <f>Calculs!E40</f>
        <v>323.0857354189975</v>
      </c>
      <c r="I15" s="65">
        <f>Calculs!F40</f>
        <v>6.877091005087219</v>
      </c>
      <c r="J15" s="66"/>
    </row>
    <row r="16" spans="3:10" ht="12.75">
      <c r="C16" s="5" t="s">
        <v>186</v>
      </c>
      <c r="D16" s="1"/>
      <c r="E16" s="1"/>
      <c r="F16" s="1"/>
      <c r="G16" s="1"/>
      <c r="H16" s="31">
        <f>IF('Hypothèses et paramètres'!F14=1,Calculs!E67,0)</f>
        <v>0</v>
      </c>
      <c r="I16" s="65">
        <f>H16/Calculs!F3</f>
        <v>0</v>
      </c>
      <c r="J16" s="66"/>
    </row>
    <row r="17" spans="2:9" ht="4.5" customHeight="1">
      <c r="B17" s="22"/>
      <c r="C17" s="18"/>
      <c r="D17" s="18"/>
      <c r="E17" s="18"/>
      <c r="F17" s="18"/>
      <c r="G17" s="18"/>
      <c r="H17" s="22"/>
      <c r="I17" s="22"/>
    </row>
    <row r="18" spans="2:10" ht="11.25">
      <c r="B18" s="2" t="s">
        <v>187</v>
      </c>
      <c r="C18" s="20"/>
      <c r="D18" s="20"/>
      <c r="E18" s="20"/>
      <c r="F18" s="20"/>
      <c r="G18" s="20"/>
      <c r="H18" s="2" t="s">
        <v>127</v>
      </c>
      <c r="I18" s="2" t="s">
        <v>128</v>
      </c>
      <c r="J18" s="66"/>
    </row>
    <row r="19" spans="3:12" ht="12.75">
      <c r="C19" s="67" t="s">
        <v>188</v>
      </c>
      <c r="D19" s="68"/>
      <c r="E19" s="68"/>
      <c r="F19" s="69"/>
      <c r="G19" s="69"/>
      <c r="H19" s="69"/>
      <c r="I19" s="70"/>
      <c r="J19" s="66"/>
      <c r="K19" s="39"/>
      <c r="L19" s="39"/>
    </row>
    <row r="20" spans="3:12" ht="12.75">
      <c r="C20" s="5" t="s">
        <v>189</v>
      </c>
      <c r="D20" s="1"/>
      <c r="E20" s="1"/>
      <c r="H20" s="31">
        <f>IF('Hypothèses et paramètres'!F14=1,Calculs!E45+Calculs!E46,Calculs!E80)</f>
        <v>84.27786675920926</v>
      </c>
      <c r="I20" s="65">
        <f>H20/Calculs!$F$3</f>
        <v>1.7939094669904059</v>
      </c>
      <c r="J20" s="66"/>
      <c r="K20" s="71"/>
      <c r="L20" s="71"/>
    </row>
    <row r="21" spans="3:12" ht="12.75">
      <c r="C21" s="5" t="s">
        <v>190</v>
      </c>
      <c r="D21" s="1"/>
      <c r="E21" s="1"/>
      <c r="H21" s="31">
        <f>IF('Hypothèses et paramètres'!F14=1,Calculs!E73+Calculs!E110,Calculs!E104+Calculs!E110)</f>
        <v>133.05973057668362</v>
      </c>
      <c r="I21" s="65">
        <f>H21/Calculs!$F$3</f>
        <v>2.832263315808506</v>
      </c>
      <c r="J21" s="66"/>
      <c r="K21" s="15"/>
      <c r="L21" s="15"/>
    </row>
    <row r="22" spans="2:9" ht="4.5" customHeight="1">
      <c r="B22" s="22"/>
      <c r="C22" s="18"/>
      <c r="D22" s="18"/>
      <c r="E22" s="18"/>
      <c r="F22" s="18"/>
      <c r="G22" s="18"/>
      <c r="H22" s="22"/>
      <c r="I22" s="22"/>
    </row>
    <row r="23" spans="3:10" ht="12.75">
      <c r="C23" s="67" t="s">
        <v>191</v>
      </c>
      <c r="D23" s="68"/>
      <c r="E23" s="68"/>
      <c r="F23" s="69"/>
      <c r="G23" s="69"/>
      <c r="H23" s="69"/>
      <c r="I23" s="72"/>
      <c r="J23" s="66"/>
    </row>
    <row r="24" spans="3:11" ht="11.25">
      <c r="C24" s="5" t="s">
        <v>250</v>
      </c>
      <c r="H24" s="31">
        <f>SUM(Calculs!E21:E25,Calculs!E29)</f>
        <v>416.1770271556066</v>
      </c>
      <c r="I24" s="65">
        <f>H24/Calculs!$F$3</f>
        <v>8.858599982026535</v>
      </c>
      <c r="J24" s="66"/>
      <c r="K24" s="31"/>
    </row>
    <row r="25" spans="2:9" ht="4.5" customHeight="1">
      <c r="B25" s="22"/>
      <c r="C25" s="18"/>
      <c r="D25" s="18"/>
      <c r="E25" s="18"/>
      <c r="F25" s="18"/>
      <c r="G25" s="18"/>
      <c r="H25" s="22"/>
      <c r="I25" s="22"/>
    </row>
    <row r="26" spans="2:10" ht="11.25">
      <c r="B26" s="2" t="s">
        <v>192</v>
      </c>
      <c r="C26" s="20"/>
      <c r="D26" s="20"/>
      <c r="E26" s="20"/>
      <c r="F26" s="20"/>
      <c r="G26" s="20"/>
      <c r="H26" s="2" t="s">
        <v>127</v>
      </c>
      <c r="I26" s="2" t="s">
        <v>128</v>
      </c>
      <c r="J26" s="66"/>
    </row>
    <row r="27" spans="3:11" ht="11.25">
      <c r="C27" s="67" t="s">
        <v>188</v>
      </c>
      <c r="D27" s="69"/>
      <c r="E27" s="69"/>
      <c r="F27" s="69"/>
      <c r="G27" s="69"/>
      <c r="H27" s="73"/>
      <c r="I27" s="74"/>
      <c r="J27" s="66"/>
      <c r="K27" s="31"/>
    </row>
    <row r="28" spans="3:11" ht="11.25">
      <c r="C28" s="5" t="s">
        <v>193</v>
      </c>
      <c r="H28" s="31">
        <f>IF('Hypothèses et paramètres'!F14=1,Calculs!E52,Calculs!E86)</f>
        <v>249.42</v>
      </c>
      <c r="I28" s="65">
        <f>H28/Calculs!$F$3</f>
        <v>5.3090676883780334</v>
      </c>
      <c r="J28" s="66"/>
      <c r="K28" s="31"/>
    </row>
    <row r="29" spans="3:11" ht="11.25">
      <c r="C29" s="5" t="s">
        <v>194</v>
      </c>
      <c r="H29" s="31">
        <f>IF('Hypothèses et paramètres'!F14=1,Calculs!E64+Calculs!E72+Calculs!E111,Calculs!E98+Calculs!E103+Calculs!E111)</f>
        <v>168.24879941713436</v>
      </c>
      <c r="I29" s="65">
        <f>H29/Calculs!$F$3</f>
        <v>3.5812856410628857</v>
      </c>
      <c r="J29" s="66"/>
      <c r="K29" s="31"/>
    </row>
    <row r="30" spans="2:9" ht="4.5" customHeight="1">
      <c r="B30" s="22"/>
      <c r="C30" s="18"/>
      <c r="D30" s="18"/>
      <c r="E30" s="18"/>
      <c r="F30" s="18"/>
      <c r="G30" s="18"/>
      <c r="H30" s="22"/>
      <c r="I30" s="22"/>
    </row>
    <row r="31" spans="3:10" ht="11.25">
      <c r="C31" s="67" t="s">
        <v>191</v>
      </c>
      <c r="D31" s="69"/>
      <c r="E31" s="69"/>
      <c r="F31" s="69"/>
      <c r="G31" s="69"/>
      <c r="H31" s="73"/>
      <c r="I31" s="74"/>
      <c r="J31" s="66"/>
    </row>
    <row r="32" spans="3:11" ht="11.25">
      <c r="C32" s="5" t="str">
        <f>IF('Hypothèses et paramètres'!G6=2,"Accès Partagé (location ligne + filtre)","Accès total (location ligne + option de GTR)")</f>
        <v>Accès total (location ligne + option de GTR)</v>
      </c>
      <c r="H32" s="31">
        <f>SUM(Calculs!E26:E28)</f>
        <v>725.8409999999999</v>
      </c>
      <c r="I32" s="65">
        <f>H32/Calculs!$F$3</f>
        <v>15.45</v>
      </c>
      <c r="J32" s="66"/>
      <c r="K32" s="31"/>
    </row>
    <row r="33" spans="2:9" ht="4.5" customHeight="1">
      <c r="B33" s="22"/>
      <c r="C33" s="18"/>
      <c r="D33" s="18"/>
      <c r="E33" s="18"/>
      <c r="F33" s="18"/>
      <c r="G33" s="18"/>
      <c r="H33" s="22"/>
      <c r="I33" s="22"/>
    </row>
    <row r="34" spans="2:10" ht="11.25">
      <c r="B34" s="2" t="s">
        <v>110</v>
      </c>
      <c r="C34" s="20"/>
      <c r="D34" s="20"/>
      <c r="E34" s="20"/>
      <c r="F34" s="20"/>
      <c r="G34" s="20"/>
      <c r="H34" s="2" t="s">
        <v>127</v>
      </c>
      <c r="I34" s="75" t="s">
        <v>128</v>
      </c>
      <c r="J34" s="66"/>
    </row>
    <row r="35" spans="2:9" ht="4.5" customHeight="1" thickBot="1">
      <c r="B35" s="22"/>
      <c r="C35" s="18"/>
      <c r="D35" s="18"/>
      <c r="E35" s="18"/>
      <c r="F35" s="18"/>
      <c r="G35" s="18"/>
      <c r="H35" s="22"/>
      <c r="I35" s="22"/>
    </row>
    <row r="36" spans="2:10" ht="12" thickBot="1">
      <c r="B36" s="76" t="s">
        <v>195</v>
      </c>
      <c r="C36" s="77"/>
      <c r="D36" s="77"/>
      <c r="E36" s="77"/>
      <c r="F36" s="77"/>
      <c r="G36" s="77"/>
      <c r="H36" s="78">
        <f>SUM(H15:H32)</f>
        <v>2100.110159327631</v>
      </c>
      <c r="I36" s="79">
        <f>SUM(I15:I32)</f>
        <v>44.70221709935359</v>
      </c>
      <c r="J36" s="66"/>
    </row>
    <row r="37" spans="2:9" ht="4.5" customHeight="1">
      <c r="B37" s="22"/>
      <c r="C37" s="18"/>
      <c r="D37" s="18"/>
      <c r="E37" s="18"/>
      <c r="F37" s="18"/>
      <c r="G37" s="18"/>
      <c r="H37" s="22"/>
      <c r="I37" s="22"/>
    </row>
    <row r="38" spans="3:10" ht="11.25">
      <c r="C38" s="5" t="s">
        <v>196</v>
      </c>
      <c r="H38" s="31">
        <f>Calculs!E119+Calculs!E118</f>
        <v>270.67735204868745</v>
      </c>
      <c r="I38" s="65">
        <f>H38/Calculs!$F$3</f>
        <v>5.761544317766869</v>
      </c>
      <c r="J38" s="66"/>
    </row>
    <row r="39" spans="2:9" ht="4.5" customHeight="1" thickBot="1">
      <c r="B39" s="22"/>
      <c r="C39" s="18"/>
      <c r="D39" s="18"/>
      <c r="E39" s="18"/>
      <c r="F39" s="18"/>
      <c r="G39" s="18"/>
      <c r="H39" s="22"/>
      <c r="I39" s="22"/>
    </row>
    <row r="40" spans="2:10" ht="12" thickBot="1">
      <c r="B40" s="76" t="s">
        <v>197</v>
      </c>
      <c r="C40" s="77"/>
      <c r="D40" s="77"/>
      <c r="E40" s="77"/>
      <c r="F40" s="77"/>
      <c r="G40" s="77"/>
      <c r="H40" s="78">
        <f>H38+H36</f>
        <v>2370.7875113763184</v>
      </c>
      <c r="I40" s="79">
        <f>I36+I38</f>
        <v>50.46376141712046</v>
      </c>
      <c r="J40" s="66"/>
    </row>
    <row r="41" spans="8:9" ht="11.25">
      <c r="H41" s="15"/>
      <c r="I41" s="80"/>
    </row>
    <row r="42" ht="11.25">
      <c r="I42" s="7"/>
    </row>
    <row r="43" ht="11.25">
      <c r="H43" s="15"/>
    </row>
    <row r="44" ht="11.25">
      <c r="H44" s="15"/>
    </row>
  </sheetData>
  <printOptions/>
  <pageMargins left="0.9" right="0.42" top="1" bottom="1" header="0.4921259845" footer="0.49212598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MOLL</dc:creator>
  <cp:keywords/>
  <dc:description/>
  <cp:lastModifiedBy>Cecile GAUBERT</cp:lastModifiedBy>
  <cp:lastPrinted>2005-10-13T11:17:01Z</cp:lastPrinted>
  <dcterms:created xsi:type="dcterms:W3CDTF">2005-03-24T11:22:15Z</dcterms:created>
  <dcterms:modified xsi:type="dcterms:W3CDTF">2005-10-13T11:55:35Z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