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0065" windowHeight="9330" activeTab="0"/>
  </bookViews>
  <sheets>
    <sheet name="Single asset" sheetId="1" r:id="rId1"/>
    <sheet name="Steady state" sheetId="2" r:id="rId2"/>
    <sheet name="View 1" sheetId="3" r:id="rId3"/>
    <sheet name="View 2" sheetId="4" r:id="rId4"/>
  </sheets>
  <definedNames/>
  <calcPr fullCalcOnLoad="1"/>
</workbook>
</file>

<file path=xl/sharedStrings.xml><?xml version="1.0" encoding="utf-8"?>
<sst xmlns="http://schemas.openxmlformats.org/spreadsheetml/2006/main" count="154" uniqueCount="43">
  <si>
    <t>millions d'euros</t>
  </si>
  <si>
    <t>ans</t>
  </si>
  <si>
    <t>Depreciation</t>
  </si>
  <si>
    <t>Redevance</t>
  </si>
  <si>
    <t>Revenu actualisé</t>
  </si>
  <si>
    <t>Vérif.</t>
  </si>
  <si>
    <t>Valeur nette début d'année</t>
  </si>
  <si>
    <t>Valeur nette fin d'année</t>
  </si>
  <si>
    <t>Parameters</t>
  </si>
  <si>
    <t>Value</t>
  </si>
  <si>
    <t>million euros</t>
  </si>
  <si>
    <t>years</t>
  </si>
  <si>
    <t>Amortisation period</t>
  </si>
  <si>
    <t>Real lifespan</t>
  </si>
  <si>
    <t>Technical progress rate</t>
  </si>
  <si>
    <t>Composite rate</t>
  </si>
  <si>
    <t>Cost of capital</t>
  </si>
  <si>
    <t>Year</t>
  </si>
  <si>
    <t>Actual investment cash flows</t>
  </si>
  <si>
    <t>Profile</t>
  </si>
  <si>
    <t>Annual investment</t>
  </si>
  <si>
    <t>Discounted cost</t>
  </si>
  <si>
    <t>HCA</t>
  </si>
  <si>
    <t>Net value (as of 01.01)</t>
  </si>
  <si>
    <t>Net value (as of 31.12)</t>
  </si>
  <si>
    <t>Annual payment</t>
  </si>
  <si>
    <t>Discounted revenues</t>
  </si>
  <si>
    <t>CCA</t>
  </si>
  <si>
    <t>CCA with real lifespan</t>
  </si>
  <si>
    <t>HCA with amortisation period</t>
  </si>
  <si>
    <t>Discounted revenues (beginning of year 1)</t>
  </si>
  <si>
    <t>HCA with real lifespan</t>
  </si>
  <si>
    <t>CCA with amortisation period</t>
  </si>
  <si>
    <t>Economic depreciation with amo. Period</t>
  </si>
  <si>
    <t>Economic depreciation with real lifespan</t>
  </si>
  <si>
    <t>Successive step replacement (theoretical investments)</t>
  </si>
  <si>
    <t>Economic depreciation</t>
  </si>
  <si>
    <t>Gross replacement value year 1</t>
  </si>
  <si>
    <t>Net value</t>
  </si>
  <si>
    <t>Linear HCA</t>
  </si>
  <si>
    <t>Successive step replacement</t>
  </si>
  <si>
    <t>Successive step replacement with infinite lifespan</t>
  </si>
  <si>
    <t>Annual investment cashflows (right handside scale)</t>
  </si>
</sst>
</file>

<file path=xl/styles.xml><?xml version="1.0" encoding="utf-8"?>
<styleSheet xmlns="http://schemas.openxmlformats.org/spreadsheetml/2006/main">
  <numFmts count="4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"/>
    <numFmt numFmtId="186" formatCode="0.0%"/>
    <numFmt numFmtId="187" formatCode="#,##0.000\ &quot;€&quot;;[Red]\-#,##0.000\ &quot;€&quot;"/>
    <numFmt numFmtId="188" formatCode="#,##0.0\ &quot;€&quot;;[Red]\-#,##0.0\ &quot;€&quot;"/>
    <numFmt numFmtId="189" formatCode="0.0_ ;[Red]\-0.0\ "/>
    <numFmt numFmtId="190" formatCode="0_ ;[Red]\-0\ "/>
    <numFmt numFmtId="191" formatCode="#,##0.0"/>
    <numFmt numFmtId="192" formatCode="#,##0.000"/>
    <numFmt numFmtId="193" formatCode="_-* #,##0.0\ &quot;€&quot;_-;\-* #,##0.0\ &quot;€&quot;_-;_-* &quot;-&quot;??\ &quot;€&quot;_-;_-@_-"/>
    <numFmt numFmtId="194" formatCode="0.000%"/>
    <numFmt numFmtId="195" formatCode="0.0000%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7.25"/>
      <name val="Arial"/>
      <family val="2"/>
    </font>
    <font>
      <b/>
      <sz val="8.25"/>
      <name val="Arial"/>
      <family val="2"/>
    </font>
    <font>
      <sz val="7.25"/>
      <name val="Arial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9" fontId="4" fillId="0" borderId="0" xfId="22" applyFont="1" applyAlignment="1">
      <alignment/>
    </xf>
    <xf numFmtId="3" fontId="4" fillId="0" borderId="0" xfId="0" applyNumberFormat="1" applyFont="1" applyAlignment="1">
      <alignment/>
    </xf>
    <xf numFmtId="3" fontId="4" fillId="2" borderId="0" xfId="0" applyNumberFormat="1" applyFont="1" applyFill="1" applyAlignment="1">
      <alignment/>
    </xf>
    <xf numFmtId="195" fontId="4" fillId="0" borderId="0" xfId="22" applyNumberFormat="1" applyFont="1" applyAlignment="1">
      <alignment horizontal="center"/>
    </xf>
    <xf numFmtId="19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6" fontId="4" fillId="0" borderId="0" xfId="22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3" borderId="0" xfId="0" applyFont="1" applyFill="1" applyAlignment="1">
      <alignment/>
    </xf>
    <xf numFmtId="3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Fill="1" applyBorder="1" applyAlignment="1">
      <alignment/>
    </xf>
    <xf numFmtId="1" fontId="4" fillId="5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asset'!$B$17:$AF$17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asset'!$B$24:$AF$24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asset'!$B$38:$AF$38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asset'!$B$31:$AF$31</c:f>
              <c:numCache/>
            </c:numRef>
          </c:yVal>
          <c:smooth val="0"/>
        </c:ser>
        <c:axId val="59685578"/>
        <c:axId val="299291"/>
      </c:scatterChart>
      <c:valAx>
        <c:axId val="5968557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99291"/>
        <c:crosses val="autoZero"/>
        <c:crossBetween val="midCat"/>
        <c:dispUnits/>
      </c:valAx>
      <c:valAx>
        <c:axId val="299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55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2'!$C$9:$C$59</c:f>
              <c:numCache/>
            </c:numRef>
          </c:yVal>
          <c:smooth val="0"/>
        </c:ser>
        <c:ser>
          <c:idx val="12"/>
          <c:order val="1"/>
          <c:tx>
            <c:strRef>
              <c:f>'View 2'!$D$8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2'!$D$9:$D$59</c:f>
              <c:numCache/>
            </c:numRef>
          </c:yVal>
          <c:smooth val="0"/>
        </c:ser>
        <c:ser>
          <c:idx val="13"/>
          <c:order val="2"/>
          <c:tx>
            <c:strRef>
              <c:f>'View 2'!$E$8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2'!$E$9:$E$59</c:f>
              <c:numCache/>
            </c:numRef>
          </c:yVal>
          <c:smooth val="0"/>
        </c:ser>
        <c:ser>
          <c:idx val="14"/>
          <c:order val="3"/>
          <c:tx>
            <c:strRef>
              <c:f>'View 2'!$F$8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2'!$F$9:$F$59</c:f>
              <c:numCache/>
            </c:numRef>
          </c:yVal>
          <c:smooth val="0"/>
        </c:ser>
        <c:axId val="64680900"/>
        <c:axId val="45257189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4661518"/>
        <c:axId val="41953663"/>
      </c:scatterChart>
      <c:val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57189"/>
        <c:crosses val="autoZero"/>
        <c:crossBetween val="midCat"/>
        <c:dispUnits/>
      </c:valAx>
      <c:valAx>
        <c:axId val="45257189"/>
        <c:scaling>
          <c:orientation val="minMax"/>
          <c:max val="12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crossBetween val="midCat"/>
        <c:dispUnits/>
      </c:valAx>
      <c:valAx>
        <c:axId val="4661518"/>
        <c:scaling>
          <c:orientation val="minMax"/>
        </c:scaling>
        <c:axPos val="b"/>
        <c:delete val="1"/>
        <c:majorTickMark val="in"/>
        <c:minorTickMark val="none"/>
        <c:tickLblPos val="nextTo"/>
        <c:crossAx val="41953663"/>
        <c:crosses val="max"/>
        <c:crossBetween val="midCat"/>
        <c:dispUnits/>
      </c:valAx>
      <c:valAx>
        <c:axId val="41953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151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2'!$H$8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2'!$H$9:$H$59</c:f>
              <c:numCache/>
            </c:numRef>
          </c:yVal>
          <c:smooth val="0"/>
        </c:ser>
        <c:ser>
          <c:idx val="12"/>
          <c:order val="1"/>
          <c:tx>
            <c:strRef>
              <c:f>'View 2'!$I$8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2'!$I$9:$I$59</c:f>
              <c:numCache/>
            </c:numRef>
          </c:yVal>
          <c:smooth val="0"/>
        </c:ser>
        <c:ser>
          <c:idx val="13"/>
          <c:order val="2"/>
          <c:tx>
            <c:strRef>
              <c:f>'View 2'!$J$8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2'!$J$9:$J$59</c:f>
              <c:numCache/>
            </c:numRef>
          </c:yVal>
          <c:smooth val="0"/>
        </c:ser>
        <c:ser>
          <c:idx val="14"/>
          <c:order val="3"/>
          <c:tx>
            <c:strRef>
              <c:f>'View 2'!$K$8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/>
            </c:numRef>
          </c:xVal>
          <c:yVal>
            <c:numRef>
              <c:f>'View 2'!$K$9:$K$59</c:f>
              <c:numCache/>
            </c:numRef>
          </c:yVal>
          <c:smooth val="0"/>
        </c:ser>
        <c:axId val="42038648"/>
        <c:axId val="42803513"/>
      </c:scatterChart>
      <c:scatterChart>
        <c:scatterStyle val="lineMarker"/>
        <c:varyColors val="0"/>
        <c:ser>
          <c:idx val="0"/>
          <c:order val="4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/>
            </c:numRef>
          </c:xVal>
          <c:yVal>
            <c:numRef>
              <c:f>'View 2'!$R$9:$R$59</c:f>
              <c:numCache/>
            </c:numRef>
          </c:yVal>
          <c:smooth val="0"/>
        </c:ser>
        <c:axId val="49687298"/>
        <c:axId val="44532499"/>
      </c:scatterChart>
      <c:valAx>
        <c:axId val="4203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 val="autoZero"/>
        <c:crossBetween val="midCat"/>
        <c:dispUnits/>
      </c:valAx>
      <c:valAx>
        <c:axId val="42803513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crossBetween val="midCat"/>
        <c:dispUnits/>
      </c:valAx>
      <c:valAx>
        <c:axId val="49687298"/>
        <c:scaling>
          <c:orientation val="minMax"/>
        </c:scaling>
        <c:axPos val="b"/>
        <c:delete val="1"/>
        <c:majorTickMark val="in"/>
        <c:minorTickMark val="none"/>
        <c:tickLblPos val="nextTo"/>
        <c:crossAx val="44532499"/>
        <c:crosses val="max"/>
        <c:crossBetween val="midCat"/>
        <c:dispUnits/>
      </c:valAx>
      <c:valAx>
        <c:axId val="445324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687298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2'!$G$2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116"/>
          <c:w val="0.98"/>
          <c:h val="0.699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2'!$M$8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2'!$M$9:$M$59</c:f>
              <c:numCache>
                <c:ptCount val="51"/>
                <c:pt idx="0">
                  <c:v>173.36589929776324</c:v>
                </c:pt>
                <c:pt idx="1">
                  <c:v>157.6053629979666</c:v>
                </c:pt>
                <c:pt idx="2">
                  <c:v>144.47158274813606</c:v>
                </c:pt>
                <c:pt idx="3">
                  <c:v>133.3583840752025</c:v>
                </c:pt>
                <c:pt idx="4">
                  <c:v>123.83278521268805</c:v>
                </c:pt>
                <c:pt idx="5">
                  <c:v>115.57726619850884</c:v>
                </c:pt>
                <c:pt idx="6">
                  <c:v>108.35368706110202</c:v>
                </c:pt>
                <c:pt idx="7">
                  <c:v>101.97994076339015</c:v>
                </c:pt>
                <c:pt idx="8">
                  <c:v>96.31438849875735</c:v>
                </c:pt>
                <c:pt idx="9">
                  <c:v>91.2452101567175</c:v>
                </c:pt>
                <c:pt idx="10">
                  <c:v>86.68294964888162</c:v>
                </c:pt>
                <c:pt idx="11">
                  <c:v>82.555190141792</c:v>
                </c:pt>
                <c:pt idx="12">
                  <c:v>78.8026814989833</c:v>
                </c:pt>
                <c:pt idx="13">
                  <c:v>75.37647795554923</c:v>
                </c:pt>
                <c:pt idx="14">
                  <c:v>72.23579137406803</c:v>
                </c:pt>
                <c:pt idx="15">
                  <c:v>69.3463597191053</c:v>
                </c:pt>
                <c:pt idx="16">
                  <c:v>66.67919203760125</c:v>
                </c:pt>
                <c:pt idx="17">
                  <c:v>64.20959233250491</c:v>
                </c:pt>
                <c:pt idx="18">
                  <c:v>61.916392606344026</c:v>
                </c:pt>
                <c:pt idx="19">
                  <c:v>59.781344585435605</c:v>
                </c:pt>
                <c:pt idx="20">
                  <c:v>57.78863309925442</c:v>
                </c:pt>
                <c:pt idx="21">
                  <c:v>55.924483644439746</c:v>
                </c:pt>
                <c:pt idx="22">
                  <c:v>54.17684353055101</c:v>
                </c:pt>
                <c:pt idx="23">
                  <c:v>52.53512099932221</c:v>
                </c:pt>
                <c:pt idx="24">
                  <c:v>50.98997038169507</c:v>
                </c:pt>
                <c:pt idx="25">
                  <c:v>49.53311408507522</c:v>
                </c:pt>
                <c:pt idx="26">
                  <c:v>48.157194249378676</c:v>
                </c:pt>
                <c:pt idx="27">
                  <c:v>46.85564845885493</c:v>
                </c:pt>
                <c:pt idx="28">
                  <c:v>45.62260507835875</c:v>
                </c:pt>
                <c:pt idx="29">
                  <c:v>44.45279469173418</c:v>
                </c:pt>
                <c:pt idx="30">
                  <c:v>43.34147482444081</c:v>
                </c:pt>
                <c:pt idx="31">
                  <c:v>42.28436568238128</c:v>
                </c:pt>
                <c:pt idx="32">
                  <c:v>41.277595070896</c:v>
                </c:pt>
                <c:pt idx="33">
                  <c:v>40.317650999479824</c:v>
                </c:pt>
                <c:pt idx="34">
                  <c:v>39.40134074949165</c:v>
                </c:pt>
                <c:pt idx="35">
                  <c:v>38.52575539950294</c:v>
                </c:pt>
                <c:pt idx="36">
                  <c:v>37.68823897777462</c:v>
                </c:pt>
                <c:pt idx="37">
                  <c:v>36.886361552715584</c:v>
                </c:pt>
                <c:pt idx="38">
                  <c:v>36.117895687034014</c:v>
                </c:pt>
                <c:pt idx="39">
                  <c:v>35.38079577505372</c:v>
                </c:pt>
                <c:pt idx="40">
                  <c:v>34.67317985955265</c:v>
                </c:pt>
                <c:pt idx="41">
                  <c:v>33.99331358779671</c:v>
                </c:pt>
                <c:pt idx="42">
                  <c:v>33.33959601880063</c:v>
                </c:pt>
                <c:pt idx="43">
                  <c:v>32.710547037313816</c:v>
                </c:pt>
                <c:pt idx="44">
                  <c:v>32.104796166252456</c:v>
                </c:pt>
                <c:pt idx="45">
                  <c:v>31.521072599593314</c:v>
                </c:pt>
                <c:pt idx="46">
                  <c:v>30.958196303172013</c:v>
                </c:pt>
                <c:pt idx="47">
                  <c:v>30.415070052239166</c:v>
                </c:pt>
                <c:pt idx="48">
                  <c:v>29.890672292717802</c:v>
                </c:pt>
                <c:pt idx="49">
                  <c:v>29.38405072843445</c:v>
                </c:pt>
                <c:pt idx="50">
                  <c:v>28.89431654962721</c:v>
                </c:pt>
              </c:numCache>
            </c:numRef>
          </c:yVal>
          <c:smooth val="0"/>
        </c:ser>
        <c:ser>
          <c:idx val="12"/>
          <c:order val="1"/>
          <c:tx>
            <c:strRef>
              <c:f>'View 2'!$N$8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2'!$N$9:$N$59</c:f>
              <c:numCache>
                <c:ptCount val="51"/>
                <c:pt idx="0">
                  <c:v>186.82745825602964</c:v>
                </c:pt>
                <c:pt idx="1">
                  <c:v>169.8431438691179</c:v>
                </c:pt>
                <c:pt idx="2">
                  <c:v>155.68954854669138</c:v>
                </c:pt>
                <c:pt idx="3">
                  <c:v>143.71342942771514</c:v>
                </c:pt>
                <c:pt idx="4">
                  <c:v>133.44818446859261</c:v>
                </c:pt>
                <c:pt idx="5">
                  <c:v>124.55163883735311</c:v>
                </c:pt>
                <c:pt idx="6">
                  <c:v>116.76716141001856</c:v>
                </c:pt>
                <c:pt idx="7">
                  <c:v>109.89850485648805</c:v>
                </c:pt>
                <c:pt idx="8">
                  <c:v>103.79303236446091</c:v>
                </c:pt>
                <c:pt idx="9">
                  <c:v>98.33024118738403</c:v>
                </c:pt>
                <c:pt idx="10">
                  <c:v>93.41372912801482</c:v>
                </c:pt>
                <c:pt idx="11">
                  <c:v>88.96545631239508</c:v>
                </c:pt>
                <c:pt idx="12">
                  <c:v>84.92157193455895</c:v>
                </c:pt>
                <c:pt idx="13">
                  <c:v>81.22932967653462</c:v>
                </c:pt>
                <c:pt idx="14">
                  <c:v>77.84477427334569</c:v>
                </c:pt>
                <c:pt idx="15">
                  <c:v>74.73098330241186</c:v>
                </c:pt>
                <c:pt idx="16">
                  <c:v>71.85671471385757</c:v>
                </c:pt>
                <c:pt idx="17">
                  <c:v>69.19535490964061</c:v>
                </c:pt>
                <c:pt idx="18">
                  <c:v>66.72409223429631</c:v>
                </c:pt>
                <c:pt idx="19">
                  <c:v>64.42326146759642</c:v>
                </c:pt>
                <c:pt idx="20">
                  <c:v>62.275819418676555</c:v>
                </c:pt>
                <c:pt idx="21">
                  <c:v>60.26692201807409</c:v>
                </c:pt>
                <c:pt idx="22">
                  <c:v>58.38358070500928</c:v>
                </c:pt>
                <c:pt idx="23">
                  <c:v>56.61438128970596</c:v>
                </c:pt>
                <c:pt idx="24">
                  <c:v>54.94925242824402</c:v>
                </c:pt>
                <c:pt idx="25">
                  <c:v>53.37927378743705</c:v>
                </c:pt>
                <c:pt idx="26">
                  <c:v>51.89651618223046</c:v>
                </c:pt>
                <c:pt idx="27">
                  <c:v>50.49390763676477</c:v>
                </c:pt>
                <c:pt idx="28">
                  <c:v>49.165120593692016</c:v>
                </c:pt>
                <c:pt idx="29">
                  <c:v>47.90447647590504</c:v>
                </c:pt>
                <c:pt idx="30">
                  <c:v>46.70686456400741</c:v>
                </c:pt>
                <c:pt idx="31">
                  <c:v>45.56767274537308</c:v>
                </c:pt>
                <c:pt idx="32">
                  <c:v>44.48272815619754</c:v>
                </c:pt>
                <c:pt idx="33">
                  <c:v>43.44824610605342</c:v>
                </c:pt>
                <c:pt idx="34">
                  <c:v>42.46078596727948</c:v>
                </c:pt>
                <c:pt idx="35">
                  <c:v>41.517212945784365</c:v>
                </c:pt>
                <c:pt idx="36">
                  <c:v>40.61466483826731</c:v>
                </c:pt>
                <c:pt idx="37">
                  <c:v>39.750523033197794</c:v>
                </c:pt>
                <c:pt idx="38">
                  <c:v>38.922387136672846</c:v>
                </c:pt>
                <c:pt idx="39">
                  <c:v>38.12805270531217</c:v>
                </c:pt>
                <c:pt idx="40">
                  <c:v>37.36549165120593</c:v>
                </c:pt>
                <c:pt idx="41">
                  <c:v>36.632834952162675</c:v>
                </c:pt>
                <c:pt idx="42">
                  <c:v>35.928357356928785</c:v>
                </c:pt>
                <c:pt idx="43">
                  <c:v>35.25046382189239</c:v>
                </c:pt>
                <c:pt idx="44">
                  <c:v>34.59767745482031</c:v>
                </c:pt>
                <c:pt idx="45">
                  <c:v>33.96862877382357</c:v>
                </c:pt>
                <c:pt idx="46">
                  <c:v>33.362046117148154</c:v>
                </c:pt>
                <c:pt idx="47">
                  <c:v>32.77674706246134</c:v>
                </c:pt>
                <c:pt idx="48">
                  <c:v>32.21163073379821</c:v>
                </c:pt>
                <c:pt idx="49">
                  <c:v>31.665670890852486</c:v>
                </c:pt>
                <c:pt idx="50">
                  <c:v>31.137909709338278</c:v>
                </c:pt>
              </c:numCache>
            </c:numRef>
          </c:yVal>
          <c:smooth val="0"/>
        </c:ser>
        <c:ser>
          <c:idx val="13"/>
          <c:order val="2"/>
          <c:tx>
            <c:strRef>
              <c:f>'View 2'!$O$8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2'!$O$9:$O$59</c:f>
              <c:numCache>
                <c:ptCount val="51"/>
                <c:pt idx="0">
                  <c:v>213.55191134600054</c:v>
                </c:pt>
                <c:pt idx="1">
                  <c:v>194.13810122363685</c:v>
                </c:pt>
                <c:pt idx="2">
                  <c:v>177.9599261216671</c:v>
                </c:pt>
                <c:pt idx="3">
                  <c:v>164.27070103538503</c:v>
                </c:pt>
                <c:pt idx="4">
                  <c:v>152.53707953285752</c:v>
                </c:pt>
                <c:pt idx="5">
                  <c:v>142.36794089733368</c:v>
                </c:pt>
                <c:pt idx="6">
                  <c:v>133.4699445912503</c:v>
                </c:pt>
                <c:pt idx="7">
                  <c:v>125.6187713800003</c:v>
                </c:pt>
                <c:pt idx="8">
                  <c:v>118.63995074777804</c:v>
                </c:pt>
                <c:pt idx="9">
                  <c:v>112.39574281368449</c:v>
                </c:pt>
                <c:pt idx="10">
                  <c:v>106.77595567300027</c:v>
                </c:pt>
                <c:pt idx="11">
                  <c:v>101.69138635523834</c:v>
                </c:pt>
                <c:pt idx="12">
                  <c:v>97.06905061181843</c:v>
                </c:pt>
                <c:pt idx="13">
                  <c:v>92.84865710695672</c:v>
                </c:pt>
                <c:pt idx="14">
                  <c:v>88.97996306083355</c:v>
                </c:pt>
                <c:pt idx="15">
                  <c:v>85.42076453840019</c:v>
                </c:pt>
                <c:pt idx="16">
                  <c:v>82.13535051769252</c:v>
                </c:pt>
                <c:pt idx="17">
                  <c:v>79.09330049851872</c:v>
                </c:pt>
                <c:pt idx="18">
                  <c:v>76.26853976642876</c:v>
                </c:pt>
                <c:pt idx="19">
                  <c:v>73.63859011931052</c:v>
                </c:pt>
                <c:pt idx="20">
                  <c:v>71.18397044866684</c:v>
                </c:pt>
                <c:pt idx="21">
                  <c:v>68.88771333741951</c:v>
                </c:pt>
                <c:pt idx="22">
                  <c:v>66.73497229562516</c:v>
                </c:pt>
                <c:pt idx="23">
                  <c:v>64.71270040787894</c:v>
                </c:pt>
                <c:pt idx="24">
                  <c:v>62.80938569000015</c:v>
                </c:pt>
                <c:pt idx="25">
                  <c:v>61.014831813143005</c:v>
                </c:pt>
                <c:pt idx="26">
                  <c:v>59.31997537388902</c:v>
                </c:pt>
                <c:pt idx="27">
                  <c:v>57.716732796216355</c:v>
                </c:pt>
                <c:pt idx="28">
                  <c:v>56.197871406842246</c:v>
                </c:pt>
                <c:pt idx="29">
                  <c:v>54.756900345128344</c:v>
                </c:pt>
                <c:pt idx="30">
                  <c:v>53.387977836500134</c:v>
                </c:pt>
                <c:pt idx="31">
                  <c:v>52.08583203560988</c:v>
                </c:pt>
                <c:pt idx="32">
                  <c:v>50.84569317761917</c:v>
                </c:pt>
                <c:pt idx="33">
                  <c:v>49.66323519674431</c:v>
                </c:pt>
                <c:pt idx="34">
                  <c:v>48.53452530590921</c:v>
                </c:pt>
                <c:pt idx="35">
                  <c:v>47.455980299111225</c:v>
                </c:pt>
                <c:pt idx="36">
                  <c:v>46.42432855347836</c:v>
                </c:pt>
                <c:pt idx="37">
                  <c:v>45.43657688212776</c:v>
                </c:pt>
                <c:pt idx="38">
                  <c:v>44.48998153041678</c:v>
                </c:pt>
                <c:pt idx="39">
                  <c:v>43.582022723673575</c:v>
                </c:pt>
                <c:pt idx="40">
                  <c:v>42.710382269200096</c:v>
                </c:pt>
                <c:pt idx="41">
                  <c:v>41.87292379333343</c:v>
                </c:pt>
                <c:pt idx="42">
                  <c:v>41.06767525884626</c:v>
                </c:pt>
                <c:pt idx="43">
                  <c:v>40.292813461509525</c:v>
                </c:pt>
                <c:pt idx="44">
                  <c:v>39.54665024925936</c:v>
                </c:pt>
                <c:pt idx="45">
                  <c:v>38.82762024472736</c:v>
                </c:pt>
                <c:pt idx="46">
                  <c:v>38.13426988321438</c:v>
                </c:pt>
                <c:pt idx="47">
                  <c:v>37.46524760456148</c:v>
                </c:pt>
                <c:pt idx="48">
                  <c:v>36.81929505965526</c:v>
                </c:pt>
                <c:pt idx="49">
                  <c:v>36.195239211186525</c:v>
                </c:pt>
                <c:pt idx="50">
                  <c:v>35.59198522433342</c:v>
                </c:pt>
              </c:numCache>
            </c:numRef>
          </c:yVal>
          <c:smooth val="0"/>
        </c:ser>
        <c:ser>
          <c:idx val="14"/>
          <c:order val="3"/>
          <c:tx>
            <c:strRef>
              <c:f>'View 2'!$P$8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2'!$P$9:$P$59</c:f>
              <c:numCache>
                <c:ptCount val="51"/>
                <c:pt idx="0">
                  <c:v>88.14886379919399</c:v>
                </c:pt>
                <c:pt idx="1">
                  <c:v>87.82591354914673</c:v>
                </c:pt>
                <c:pt idx="2">
                  <c:v>87.55894642096948</c:v>
                </c:pt>
                <c:pt idx="3">
                  <c:v>87.33211100700592</c:v>
                </c:pt>
                <c:pt idx="4">
                  <c:v>87.13405665467235</c:v>
                </c:pt>
                <c:pt idx="5">
                  <c:v>86.95643885757404</c:v>
                </c:pt>
                <c:pt idx="6">
                  <c:v>86.79298508808864</c:v>
                </c:pt>
                <c:pt idx="7">
                  <c:v>86.6388902750532</c:v>
                </c:pt>
                <c:pt idx="8">
                  <c:v>86.4904137075498</c:v>
                </c:pt>
                <c:pt idx="9">
                  <c:v>86.34460313404517</c:v>
                </c:pt>
                <c:pt idx="10">
                  <c:v>86.19910151982948</c:v>
                </c:pt>
                <c:pt idx="11">
                  <c:v>86.0520088936387</c:v>
                </c:pt>
                <c:pt idx="12">
                  <c:v>85.90178174094608</c:v>
                </c:pt>
                <c:pt idx="13">
                  <c:v>85.74715850462123</c:v>
                </c:pt>
                <c:pt idx="14">
                  <c:v>85.58710356820696</c:v>
                </c:pt>
                <c:pt idx="15">
                  <c:v>85.42076453840019</c:v>
                </c:pt>
                <c:pt idx="16">
                  <c:v>85.24743923958559</c:v>
                </c:pt>
                <c:pt idx="17">
                  <c:v>85.06654989743451</c:v>
                </c:pt>
                <c:pt idx="18">
                  <c:v>84.87762271067005</c:v>
                </c:pt>
                <c:pt idx="19">
                  <c:v>84.6802715080529</c:v>
                </c:pt>
                <c:pt idx="20">
                  <c:v>84.4741845361673</c:v>
                </c:pt>
                <c:pt idx="21">
                  <c:v>84.25911367087363</c:v>
                </c:pt>
                <c:pt idx="22">
                  <c:v>84.03486552297225</c:v>
                </c:pt>
                <c:pt idx="23">
                  <c:v>83.80129403778528</c:v>
                </c:pt>
                <c:pt idx="24">
                  <c:v>83.55829428326572</c:v>
                </c:pt>
                <c:pt idx="25">
                  <c:v>83.30579719168243</c:v>
                </c:pt>
                <c:pt idx="26">
                  <c:v>83.04376507268766</c:v>
                </c:pt>
                <c:pt idx="27">
                  <c:v>82.77218775543913</c:v>
                </c:pt>
                <c:pt idx="28">
                  <c:v>82.49107924780554</c:v>
                </c:pt>
                <c:pt idx="29">
                  <c:v>82.20047482397784</c:v>
                </c:pt>
                <c:pt idx="30">
                  <c:v>81.90042846980236</c:v>
                </c:pt>
                <c:pt idx="31">
                  <c:v>81.59101062914266</c:v>
                </c:pt>
                <c:pt idx="32">
                  <c:v>81.27230620551875</c:v>
                </c:pt>
                <c:pt idx="33">
                  <c:v>80.94441278187938</c:v>
                </c:pt>
                <c:pt idx="34">
                  <c:v>80.60743902816509</c:v>
                </c:pt>
                <c:pt idx="35">
                  <c:v>80.26150327172651</c:v>
                </c:pt>
                <c:pt idx="36">
                  <c:v>79.90673220997444</c:v>
                </c:pt>
                <c:pt idx="37">
                  <c:v>79.54325974809692</c:v>
                </c:pt>
                <c:pt idx="38">
                  <c:v>79.17122594746212</c:v>
                </c:pt>
                <c:pt idx="39">
                  <c:v>78.79077607257463</c:v>
                </c:pt>
                <c:pt idx="40">
                  <c:v>78.40205972628036</c:v>
                </c:pt>
                <c:pt idx="41">
                  <c:v>78.00523006440194</c:v>
                </c:pt>
                <c:pt idx="42">
                  <c:v>77.60044308220535</c:v>
                </c:pt>
                <c:pt idx="43">
                  <c:v>77.18785696609915</c:v>
                </c:pt>
                <c:pt idx="44">
                  <c:v>76.76763150479474</c:v>
                </c:pt>
                <c:pt idx="45">
                  <c:v>76.33992755484205</c:v>
                </c:pt>
                <c:pt idx="46">
                  <c:v>75.90490655602795</c:v>
                </c:pt>
                <c:pt idx="47">
                  <c:v>75.46273009260504</c:v>
                </c:pt>
                <c:pt idx="48">
                  <c:v>75.01355949672427</c:v>
                </c:pt>
                <c:pt idx="49">
                  <c:v>74.55755549079109</c:v>
                </c:pt>
                <c:pt idx="50">
                  <c:v>74.0948778657587</c:v>
                </c:pt>
              </c:numCache>
            </c:numRef>
          </c:yVal>
          <c:smooth val="0"/>
        </c:ser>
        <c:ser>
          <c:idx val="0"/>
          <c:order val="4"/>
          <c:tx>
            <c:strRef>
              <c:f>'View 2'!$Q$8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2'!$Q$9:$Q$59</c:f>
              <c:numCache>
                <c:ptCount val="51"/>
                <c:pt idx="0">
                  <c:v>72.35621521335813</c:v>
                </c:pt>
                <c:pt idx="1">
                  <c:v>72.35621521335813</c:v>
                </c:pt>
                <c:pt idx="2">
                  <c:v>72.35621521335813</c:v>
                </c:pt>
                <c:pt idx="3">
                  <c:v>72.35621521335813</c:v>
                </c:pt>
                <c:pt idx="4">
                  <c:v>72.35621521335813</c:v>
                </c:pt>
                <c:pt idx="5">
                  <c:v>72.35621521335813</c:v>
                </c:pt>
                <c:pt idx="6">
                  <c:v>72.35621521335813</c:v>
                </c:pt>
                <c:pt idx="7">
                  <c:v>72.35621521335813</c:v>
                </c:pt>
                <c:pt idx="8">
                  <c:v>72.35621521335813</c:v>
                </c:pt>
                <c:pt idx="9">
                  <c:v>72.35621521335813</c:v>
                </c:pt>
                <c:pt idx="10">
                  <c:v>72.35621521335813</c:v>
                </c:pt>
                <c:pt idx="11">
                  <c:v>72.35621521335813</c:v>
                </c:pt>
                <c:pt idx="12">
                  <c:v>72.35621521335813</c:v>
                </c:pt>
                <c:pt idx="13">
                  <c:v>72.35621521335813</c:v>
                </c:pt>
                <c:pt idx="14">
                  <c:v>72.35621521335813</c:v>
                </c:pt>
                <c:pt idx="15">
                  <c:v>72.35621521335813</c:v>
                </c:pt>
                <c:pt idx="16">
                  <c:v>72.35621521335813</c:v>
                </c:pt>
                <c:pt idx="17">
                  <c:v>72.35621521335813</c:v>
                </c:pt>
                <c:pt idx="18">
                  <c:v>72.35621521335813</c:v>
                </c:pt>
                <c:pt idx="19">
                  <c:v>72.35621521335813</c:v>
                </c:pt>
                <c:pt idx="20">
                  <c:v>72.35621521335813</c:v>
                </c:pt>
                <c:pt idx="21">
                  <c:v>72.35621521335813</c:v>
                </c:pt>
                <c:pt idx="22">
                  <c:v>72.35621521335813</c:v>
                </c:pt>
                <c:pt idx="23">
                  <c:v>72.35621521335813</c:v>
                </c:pt>
                <c:pt idx="24">
                  <c:v>72.35621521335813</c:v>
                </c:pt>
                <c:pt idx="25">
                  <c:v>72.35621521335813</c:v>
                </c:pt>
                <c:pt idx="26">
                  <c:v>72.35621521335813</c:v>
                </c:pt>
                <c:pt idx="27">
                  <c:v>72.35621521335813</c:v>
                </c:pt>
                <c:pt idx="28">
                  <c:v>72.35621521335813</c:v>
                </c:pt>
                <c:pt idx="29">
                  <c:v>72.35621521335813</c:v>
                </c:pt>
                <c:pt idx="30">
                  <c:v>72.35621521335813</c:v>
                </c:pt>
                <c:pt idx="31">
                  <c:v>72.35621521335813</c:v>
                </c:pt>
                <c:pt idx="32">
                  <c:v>72.35621521335813</c:v>
                </c:pt>
                <c:pt idx="33">
                  <c:v>72.35621521335813</c:v>
                </c:pt>
                <c:pt idx="34">
                  <c:v>72.35621521335813</c:v>
                </c:pt>
                <c:pt idx="35">
                  <c:v>72.35621521335813</c:v>
                </c:pt>
                <c:pt idx="36">
                  <c:v>72.35621521335813</c:v>
                </c:pt>
                <c:pt idx="37">
                  <c:v>72.35621521335813</c:v>
                </c:pt>
                <c:pt idx="38">
                  <c:v>72.35621521335813</c:v>
                </c:pt>
                <c:pt idx="39">
                  <c:v>72.35621521335813</c:v>
                </c:pt>
                <c:pt idx="40">
                  <c:v>72.35621521335813</c:v>
                </c:pt>
                <c:pt idx="41">
                  <c:v>72.35621521335813</c:v>
                </c:pt>
                <c:pt idx="42">
                  <c:v>72.35621521335813</c:v>
                </c:pt>
                <c:pt idx="43">
                  <c:v>72.35621521335813</c:v>
                </c:pt>
                <c:pt idx="44">
                  <c:v>72.35621521335813</c:v>
                </c:pt>
                <c:pt idx="45">
                  <c:v>72.35621521335813</c:v>
                </c:pt>
                <c:pt idx="46">
                  <c:v>72.35621521335813</c:v>
                </c:pt>
                <c:pt idx="47">
                  <c:v>72.35621521335813</c:v>
                </c:pt>
                <c:pt idx="48">
                  <c:v>72.35621521335813</c:v>
                </c:pt>
                <c:pt idx="49">
                  <c:v>72.35621521335813</c:v>
                </c:pt>
                <c:pt idx="50">
                  <c:v>72.35621521335813</c:v>
                </c:pt>
              </c:numCache>
            </c:numRef>
          </c:yVal>
          <c:smooth val="0"/>
        </c:ser>
        <c:axId val="65248172"/>
        <c:axId val="50362637"/>
      </c:scatterChart>
      <c:scatterChart>
        <c:scatterStyle val="lineMarker"/>
        <c:varyColors val="0"/>
        <c:ser>
          <c:idx val="1"/>
          <c:order val="5"/>
          <c:tx>
            <c:strRef>
              <c:f>'View 2'!$R$8</c:f>
              <c:strCache>
                <c:ptCount val="1"/>
                <c:pt idx="0">
                  <c:v>Annual investment cashflows (right handside scale)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2'!$A$9:$A$59</c:f>
              <c:numCache>
                <c:ptCount val="5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</c:numCache>
            </c:numRef>
          </c:xVal>
          <c:yVal>
            <c:numRef>
              <c:f>'View 2'!$R$9:$R$59</c:f>
              <c:numCache>
                <c:ptCount val="51"/>
                <c:pt idx="0">
                  <c:v>100</c:v>
                </c:pt>
                <c:pt idx="1">
                  <c:v>90.9090909090909</c:v>
                </c:pt>
                <c:pt idx="2">
                  <c:v>83.33333333333333</c:v>
                </c:pt>
                <c:pt idx="3">
                  <c:v>76.92307692307692</c:v>
                </c:pt>
                <c:pt idx="4">
                  <c:v>71.42857142857143</c:v>
                </c:pt>
                <c:pt idx="5">
                  <c:v>66.66666666666667</c:v>
                </c:pt>
                <c:pt idx="6">
                  <c:v>62.5</c:v>
                </c:pt>
                <c:pt idx="7">
                  <c:v>58.8235294117647</c:v>
                </c:pt>
                <c:pt idx="8">
                  <c:v>55.55555555555556</c:v>
                </c:pt>
                <c:pt idx="9">
                  <c:v>52.63157894736842</c:v>
                </c:pt>
                <c:pt idx="10">
                  <c:v>50</c:v>
                </c:pt>
                <c:pt idx="11">
                  <c:v>47.61904761904762</c:v>
                </c:pt>
                <c:pt idx="12">
                  <c:v>45.45454545454545</c:v>
                </c:pt>
                <c:pt idx="13">
                  <c:v>43.47826086956522</c:v>
                </c:pt>
                <c:pt idx="14">
                  <c:v>41.666666666666664</c:v>
                </c:pt>
                <c:pt idx="15">
                  <c:v>40</c:v>
                </c:pt>
                <c:pt idx="16">
                  <c:v>38.46153846153846</c:v>
                </c:pt>
                <c:pt idx="17">
                  <c:v>37.03703703703704</c:v>
                </c:pt>
                <c:pt idx="18">
                  <c:v>35.714285714285715</c:v>
                </c:pt>
                <c:pt idx="19">
                  <c:v>34.48275862068966</c:v>
                </c:pt>
                <c:pt idx="20">
                  <c:v>33.333333333333336</c:v>
                </c:pt>
                <c:pt idx="21">
                  <c:v>32.25806451612903</c:v>
                </c:pt>
                <c:pt idx="22">
                  <c:v>31.25</c:v>
                </c:pt>
                <c:pt idx="23">
                  <c:v>30.303030303030305</c:v>
                </c:pt>
                <c:pt idx="24">
                  <c:v>29.41176470588235</c:v>
                </c:pt>
                <c:pt idx="25">
                  <c:v>28.571428571428573</c:v>
                </c:pt>
                <c:pt idx="26">
                  <c:v>27.77777777777778</c:v>
                </c:pt>
                <c:pt idx="27">
                  <c:v>27.027027027027028</c:v>
                </c:pt>
                <c:pt idx="28">
                  <c:v>26.31578947368421</c:v>
                </c:pt>
                <c:pt idx="29">
                  <c:v>25.641025641025642</c:v>
                </c:pt>
                <c:pt idx="30">
                  <c:v>25</c:v>
                </c:pt>
                <c:pt idx="31">
                  <c:v>24.390243902439025</c:v>
                </c:pt>
                <c:pt idx="32">
                  <c:v>23.80952380952381</c:v>
                </c:pt>
                <c:pt idx="33">
                  <c:v>23.25581395348837</c:v>
                </c:pt>
                <c:pt idx="34">
                  <c:v>22.727272727272727</c:v>
                </c:pt>
                <c:pt idx="35">
                  <c:v>22.22222222222222</c:v>
                </c:pt>
                <c:pt idx="36">
                  <c:v>21.73913043478261</c:v>
                </c:pt>
                <c:pt idx="37">
                  <c:v>21.27659574468085</c:v>
                </c:pt>
                <c:pt idx="38">
                  <c:v>20.833333333333332</c:v>
                </c:pt>
                <c:pt idx="39">
                  <c:v>20.408163265306122</c:v>
                </c:pt>
                <c:pt idx="40">
                  <c:v>20</c:v>
                </c:pt>
                <c:pt idx="41">
                  <c:v>19.607843137254903</c:v>
                </c:pt>
                <c:pt idx="42">
                  <c:v>19.23076923076923</c:v>
                </c:pt>
                <c:pt idx="43">
                  <c:v>18.867924528301888</c:v>
                </c:pt>
                <c:pt idx="44">
                  <c:v>18.51851851851852</c:v>
                </c:pt>
                <c:pt idx="45">
                  <c:v>18.181818181818183</c:v>
                </c:pt>
                <c:pt idx="46">
                  <c:v>17.857142857142858</c:v>
                </c:pt>
                <c:pt idx="47">
                  <c:v>17.54385964912281</c:v>
                </c:pt>
                <c:pt idx="48">
                  <c:v>17.24137931034483</c:v>
                </c:pt>
                <c:pt idx="49">
                  <c:v>16.949152542372882</c:v>
                </c:pt>
                <c:pt idx="50">
                  <c:v>16.666666666666668</c:v>
                </c:pt>
              </c:numCache>
            </c:numRef>
          </c:yVal>
          <c:smooth val="0"/>
        </c:ser>
        <c:axId val="50610550"/>
        <c:axId val="52841767"/>
      </c:scatterChart>
      <c:valAx>
        <c:axId val="65248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Real lifespan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 val="autoZero"/>
        <c:crossBetween val="midCat"/>
        <c:dispUnits/>
      </c:valAx>
      <c:valAx>
        <c:axId val="503626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crossBetween val="midCat"/>
        <c:dispUnits/>
      </c:valAx>
      <c:valAx>
        <c:axId val="50610550"/>
        <c:scaling>
          <c:orientation val="minMax"/>
        </c:scaling>
        <c:axPos val="b"/>
        <c:delete val="1"/>
        <c:majorTickMark val="in"/>
        <c:minorTickMark val="none"/>
        <c:tickLblPos val="nextTo"/>
        <c:crossAx val="52841767"/>
        <c:crosses val="max"/>
        <c:crossBetween val="midCat"/>
        <c:dispUnits/>
      </c:valAx>
      <c:valAx>
        <c:axId val="52841767"/>
        <c:scaling>
          <c:orientation val="minMax"/>
          <c:max val="250"/>
        </c:scaling>
        <c:axPos val="l"/>
        <c:delete val="0"/>
        <c:numFmt formatCode="General" sourceLinked="1"/>
        <c:majorTickMark val="in"/>
        <c:minorTickMark val="none"/>
        <c:tickLblPos val="nextTo"/>
        <c:crossAx val="50610550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"/>
          <c:y val="0.89375"/>
          <c:w val="0.53775"/>
          <c:h val="0.103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Annual 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15"/>
          <c:w val="0.95875"/>
          <c:h val="0.766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asset'!$B$20:$AF$20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asset'!$B$27:$AF$27</c:f>
              <c:numCache/>
            </c:numRef>
          </c:yVal>
          <c:smooth val="0"/>
        </c:ser>
        <c:ser>
          <c:idx val="4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asset'!$B$41:$AF$41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asset'!$B$34:$AF$34</c:f>
              <c:numCache/>
            </c:numRef>
          </c:yVal>
          <c:smooth val="0"/>
        </c:ser>
        <c:axId val="2693620"/>
        <c:axId val="24242581"/>
      </c:scatterChart>
      <c:valAx>
        <c:axId val="2693620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crossBetween val="midCat"/>
        <c:dispUnits/>
      </c:valAx>
      <c:valAx>
        <c:axId val="24242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6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4425"/>
          <c:w val="0.99375"/>
          <c:h val="0.0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'Single asset'!$A$16</c:f>
              <c:strCache>
                <c:ptCount val="1"/>
                <c:pt idx="0">
                  <c:v>HCA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'Single asset'!$B$9:$AF$9</c:f>
              <c:numCache/>
            </c:numRef>
          </c:xVal>
          <c:yVal>
            <c:numRef>
              <c:f>'Single asset'!$B$19:$AF$19</c:f>
              <c:numCache/>
            </c:numRef>
          </c:yVal>
          <c:smooth val="0"/>
        </c:ser>
        <c:ser>
          <c:idx val="3"/>
          <c:order val="1"/>
          <c:tx>
            <c:strRef>
              <c:f>'Single asset'!$A$23</c:f>
              <c:strCache>
                <c:ptCount val="1"/>
                <c:pt idx="0">
                  <c:v>CCA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asset'!$B$26:$AF$26</c:f>
              <c:numCache/>
            </c:numRef>
          </c:yVal>
          <c:smooth val="0"/>
        </c:ser>
        <c:ser>
          <c:idx val="2"/>
          <c:order val="2"/>
          <c:tx>
            <c:strRef>
              <c:f>'Single asset'!$A$37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'Single asset'!$B$9:$AF$9</c:f>
              <c:numCache/>
            </c:numRef>
          </c:xVal>
          <c:yVal>
            <c:numRef>
              <c:f>'Single asset'!$B$40:$AF$40</c:f>
              <c:numCache/>
            </c:numRef>
          </c:yVal>
          <c:smooth val="0"/>
        </c:ser>
        <c:ser>
          <c:idx val="0"/>
          <c:order val="3"/>
          <c:tx>
            <c:strRef>
              <c:f>'Single asset'!$A$30</c:f>
              <c:strCache>
                <c:ptCount val="1"/>
                <c:pt idx="0">
                  <c:v>CCA with real lifespan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'Single asset'!$B$9:$AF$9</c:f>
              <c:numCache/>
            </c:numRef>
          </c:xVal>
          <c:yVal>
            <c:numRef>
              <c:f>'Single asset'!$B$33:$AF$33</c:f>
              <c:numCache/>
            </c:numRef>
          </c:yVal>
          <c:smooth val="0"/>
        </c:ser>
        <c:axId val="16856638"/>
        <c:axId val="17492015"/>
      </c:scatterChart>
      <c:valAx>
        <c:axId val="1685663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crossBetween val="midCat"/>
        <c:dispUnits/>
      </c:valAx>
      <c:valAx>
        <c:axId val="17492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566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Valeur nette en début d'année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55"/>
          <c:w val="0.96225"/>
          <c:h val="0.81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state'!$B$14:$AF$14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state'!$B$21:$AF$21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state'!$B$28:$AF$28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state'!$B$35:$AF$35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state'!$B$42:$AF$42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state'!$B$49:$AF$49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state'!$B$56:$AO$56</c:f>
              <c:numCache/>
            </c:numRef>
          </c:yVal>
          <c:smooth val="0"/>
        </c:ser>
        <c:axId val="23210408"/>
        <c:axId val="7567081"/>
      </c:scatterChart>
      <c:valAx>
        <c:axId val="23210408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crossBetween val="midCat"/>
        <c:dispUnits/>
      </c:valAx>
      <c:valAx>
        <c:axId val="75670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5"/>
          <c:y val="0.89625"/>
          <c:w val="0.87525"/>
          <c:h val="0.09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Dépréciation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25"/>
          <c:w val="0.959"/>
          <c:h val="0.817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state'!$B$16:$AF$16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state'!$B$23:$AF$23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state'!$B$30:$AF$30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state'!$B$37:$AF$37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state'!$B$44:$AF$44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state'!$B$51:$AF$51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state'!$B$58:$AO$58</c:f>
              <c:numCache/>
            </c:numRef>
          </c:yVal>
          <c:smooth val="0"/>
        </c:ser>
        <c:axId val="994866"/>
        <c:axId val="8953795"/>
      </c:scatterChart>
      <c:valAx>
        <c:axId val="994866"/>
        <c:scaling>
          <c:orientation val="minMax"/>
          <c:max val="3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 val="autoZero"/>
        <c:crossBetween val="midCat"/>
        <c:dispUnits/>
      </c:valAx>
      <c:valAx>
        <c:axId val="89537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8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25"/>
          <c:y val="0.8965"/>
          <c:w val="0.94875"/>
          <c:h val="0.097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Annuité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75"/>
          <c:w val="0.959"/>
          <c:h val="0.8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'Steady state'!$A$13</c:f>
              <c:strCache>
                <c:ptCount val="1"/>
                <c:pt idx="0">
                  <c:v>HCA with amortisation period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state'!$B$17:$AF$17</c:f>
              <c:numCache/>
            </c:numRef>
          </c:yVal>
          <c:smooth val="0"/>
        </c:ser>
        <c:ser>
          <c:idx val="5"/>
          <c:order val="1"/>
          <c:tx>
            <c:strRef>
              <c:f>'Steady state'!$A$20</c:f>
              <c:strCache>
                <c:ptCount val="1"/>
                <c:pt idx="0">
                  <c:v>HCA with real lifespan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state'!$B$24:$AF$24</c:f>
              <c:numCache/>
            </c:numRef>
          </c:yVal>
          <c:smooth val="0"/>
        </c:ser>
        <c:ser>
          <c:idx val="3"/>
          <c:order val="2"/>
          <c:tx>
            <c:strRef>
              <c:f>'Steady state'!$A$27</c:f>
              <c:strCache>
                <c:ptCount val="1"/>
                <c:pt idx="0">
                  <c:v>CCA with amortisation period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state'!$B$31:$AF$31</c:f>
              <c:numCache/>
            </c:numRef>
          </c:yVal>
          <c:smooth val="0"/>
        </c:ser>
        <c:ser>
          <c:idx val="0"/>
          <c:order val="3"/>
          <c:tx>
            <c:strRef>
              <c:f>'Steady state'!$A$34</c:f>
              <c:strCache>
                <c:ptCount val="1"/>
                <c:pt idx="0">
                  <c:v>CCA with real lifespan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state'!$B$38:$AF$38</c:f>
              <c:numCache/>
            </c:numRef>
          </c:yVal>
          <c:smooth val="0"/>
        </c:ser>
        <c:ser>
          <c:idx val="2"/>
          <c:order val="4"/>
          <c:tx>
            <c:strRef>
              <c:f>'Steady state'!$A$41</c:f>
              <c:strCache>
                <c:ptCount val="1"/>
                <c:pt idx="0">
                  <c:v>Economic depreciation with amo. Period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state'!$B$45:$AF$45</c:f>
              <c:numCache/>
            </c:numRef>
          </c:yVal>
          <c:smooth val="0"/>
        </c:ser>
        <c:ser>
          <c:idx val="4"/>
          <c:order val="5"/>
          <c:tx>
            <c:strRef>
              <c:f>'Steady state'!$A$48</c:f>
              <c:strCache>
                <c:ptCount val="1"/>
                <c:pt idx="0">
                  <c:v>Economic depreciation with real lifespan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'Steady state'!$B$6:$AF$6</c:f>
              <c:numCache/>
            </c:numRef>
          </c:xVal>
          <c:yVal>
            <c:numRef>
              <c:f>'Steady state'!$B$52:$AF$52</c:f>
              <c:numCache/>
            </c:numRef>
          </c:yVal>
          <c:smooth val="0"/>
        </c:ser>
        <c:ser>
          <c:idx val="6"/>
          <c:order val="6"/>
          <c:tx>
            <c:strRef>
              <c:f>'Steady state'!$A$55</c:f>
              <c:strCache>
                <c:ptCount val="1"/>
                <c:pt idx="0">
                  <c:v>Successive step replacement (theoretical investments)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'Steady state'!$B$6:$AF$6</c:f>
              <c:numCache/>
            </c:numRef>
          </c:xVal>
          <c:yVal>
            <c:numRef>
              <c:f>'Steady state'!$B$59:$AO$59</c:f>
              <c:numCache/>
            </c:numRef>
          </c:yVal>
          <c:smooth val="0"/>
        </c:ser>
        <c:axId val="13475292"/>
        <c:axId val="54168765"/>
      </c:scatterChart>
      <c:valAx>
        <c:axId val="13475292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crossBetween val="midCat"/>
        <c:dispUnits/>
      </c:valAx>
      <c:valAx>
        <c:axId val="541687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752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675"/>
          <c:w val="0.94675"/>
          <c:h val="0.09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Net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1'!$C$8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1'!$C$9:$C$59</c:f>
              <c:numCache/>
            </c:numRef>
          </c:yVal>
          <c:smooth val="0"/>
        </c:ser>
        <c:ser>
          <c:idx val="12"/>
          <c:order val="1"/>
          <c:tx>
            <c:strRef>
              <c:f>'View 1'!$D$8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1'!$D$9:$D$59</c:f>
              <c:numCache/>
            </c:numRef>
          </c:yVal>
          <c:smooth val="0"/>
        </c:ser>
        <c:ser>
          <c:idx val="13"/>
          <c:order val="2"/>
          <c:tx>
            <c:strRef>
              <c:f>'View 1'!$E$8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1'!$E$9:$E$59</c:f>
              <c:numCache/>
            </c:numRef>
          </c:yVal>
          <c:smooth val="0"/>
        </c:ser>
        <c:ser>
          <c:idx val="14"/>
          <c:order val="3"/>
          <c:tx>
            <c:strRef>
              <c:f>'View 1'!$F$8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1'!$F$9:$F$59</c:f>
              <c:numCache/>
            </c:numRef>
          </c:yVal>
          <c:smooth val="0"/>
        </c:ser>
        <c:axId val="17756838"/>
        <c:axId val="25593815"/>
      </c:scatterChart>
      <c:valAx>
        <c:axId val="17756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3815"/>
        <c:crosses val="autoZero"/>
        <c:crossBetween val="midCat"/>
        <c:dispUnits/>
      </c:valAx>
      <c:valAx>
        <c:axId val="2559381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568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Depreciation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1"/>
          <c:order val="0"/>
          <c:tx>
            <c:strRef>
              <c:f>'View 1'!$H$8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1'!$H$9:$H$59</c:f>
              <c:numCache/>
            </c:numRef>
          </c:yVal>
          <c:smooth val="0"/>
        </c:ser>
        <c:ser>
          <c:idx val="12"/>
          <c:order val="1"/>
          <c:tx>
            <c:strRef>
              <c:f>'View 1'!$I$8</c:f>
              <c:strCache>
                <c:ptCount val="1"/>
                <c:pt idx="0">
                  <c:v>CCA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1'!$I$9:$I$59</c:f>
              <c:numCache/>
            </c:numRef>
          </c:yVal>
          <c:smooth val="0"/>
        </c:ser>
        <c:ser>
          <c:idx val="13"/>
          <c:order val="2"/>
          <c:tx>
            <c:strRef>
              <c:f>'View 1'!$J$8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1'!$J$9:$J$59</c:f>
              <c:numCache/>
            </c:numRef>
          </c:yVal>
          <c:smooth val="0"/>
        </c:ser>
        <c:ser>
          <c:idx val="14"/>
          <c:order val="3"/>
          <c:tx>
            <c:strRef>
              <c:f>'View 1'!$K$8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1'!$K$9:$K$59</c:f>
              <c:numCache/>
            </c:numRef>
          </c:yVal>
          <c:smooth val="0"/>
        </c:ser>
        <c:axId val="29017744"/>
        <c:axId val="59833105"/>
      </c:scatterChart>
      <c:valAx>
        <c:axId val="29017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3105"/>
        <c:crosses val="autoZero"/>
        <c:crossBetween val="midCat"/>
        <c:dispUnits/>
      </c:valAx>
      <c:valAx>
        <c:axId val="5983310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77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'View 1'!$G$2</c:f>
        </c:strRef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75"/>
          <c:y val="0.11275"/>
          <c:w val="0.9785"/>
          <c:h val="0.7115"/>
        </c:manualLayout>
      </c:layout>
      <c:scatterChart>
        <c:scatterStyle val="lineMarker"/>
        <c:varyColors val="0"/>
        <c:ser>
          <c:idx val="11"/>
          <c:order val="0"/>
          <c:tx>
            <c:strRef>
              <c:f>'View 1'!$M$8</c:f>
              <c:strCache>
                <c:ptCount val="1"/>
                <c:pt idx="0">
                  <c:v>Linear HCA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1'!$M$9:$M$59</c:f>
              <c:numCache/>
            </c:numRef>
          </c:yVal>
          <c:smooth val="0"/>
        </c:ser>
        <c:ser>
          <c:idx val="12"/>
          <c:order val="1"/>
          <c:tx>
            <c:strRef>
              <c:f>'View 1'!$N$8</c:f>
              <c:strCache>
                <c:ptCount val="1"/>
                <c:pt idx="0">
                  <c:v>CCA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1'!$N$9:$N$59</c:f>
              <c:numCache/>
            </c:numRef>
          </c:yVal>
          <c:smooth val="0"/>
        </c:ser>
        <c:ser>
          <c:idx val="13"/>
          <c:order val="2"/>
          <c:tx>
            <c:strRef>
              <c:f>'View 1'!$O$8</c:f>
              <c:strCache>
                <c:ptCount val="1"/>
                <c:pt idx="0">
                  <c:v>Economic depreciation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1'!$O$9:$O$59</c:f>
              <c:numCache/>
            </c:numRef>
          </c:yVal>
          <c:smooth val="0"/>
        </c:ser>
        <c:ser>
          <c:idx val="14"/>
          <c:order val="3"/>
          <c:tx>
            <c:strRef>
              <c:f>'View 1'!$P$8</c:f>
              <c:strCache>
                <c:ptCount val="1"/>
                <c:pt idx="0">
                  <c:v>Successive step replacement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'View 1'!$A$9:$A$59</c:f>
              <c:numCache/>
            </c:numRef>
          </c:xVal>
          <c:yVal>
            <c:numRef>
              <c:f>'View 1'!$P$9:$P$59</c:f>
              <c:numCache/>
            </c:numRef>
          </c:yVal>
          <c:smooth val="0"/>
        </c:ser>
        <c:ser>
          <c:idx val="0"/>
          <c:order val="4"/>
          <c:tx>
            <c:strRef>
              <c:f>'View 1'!$Q$8</c:f>
              <c:strCache>
                <c:ptCount val="1"/>
                <c:pt idx="0">
                  <c:v>Successive step replacement with infinite lifespan</c:v>
                </c:pt>
              </c:strCache>
            </c:strRef>
          </c:tx>
          <c:spPr>
            <a:ln w="3175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'View 1'!$A$9:$A$59</c:f>
              <c:numCache/>
            </c:numRef>
          </c:xVal>
          <c:yVal>
            <c:numRef>
              <c:f>'View 1'!$Q$9:$Q$59</c:f>
              <c:numCache/>
            </c:numRef>
          </c:yVal>
          <c:smooth val="0"/>
        </c:ser>
        <c:axId val="1627034"/>
        <c:axId val="14643307"/>
      </c:scatterChart>
      <c:valAx>
        <c:axId val="162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Amortisation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crossBetween val="midCat"/>
        <c:dispUnits/>
      </c:valAx>
      <c:valAx>
        <c:axId val="146433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70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5"/>
          <c:y val="0.89175"/>
          <c:w val="0.54825"/>
          <c:h val="0.094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104775</xdr:rowOff>
    </xdr:from>
    <xdr:to>
      <xdr:col>15</xdr:col>
      <xdr:colOff>190500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1428750" y="6610350"/>
        <a:ext cx="4724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38100</xdr:colOff>
      <xdr:row>45</xdr:row>
      <xdr:rowOff>85725</xdr:rowOff>
    </xdr:from>
    <xdr:to>
      <xdr:col>42</xdr:col>
      <xdr:colOff>733425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11182350" y="6591300"/>
        <a:ext cx="469582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9525</xdr:colOff>
      <xdr:row>45</xdr:row>
      <xdr:rowOff>95250</xdr:rowOff>
    </xdr:from>
    <xdr:to>
      <xdr:col>30</xdr:col>
      <xdr:colOff>209550</xdr:colOff>
      <xdr:row>78</xdr:row>
      <xdr:rowOff>66675</xdr:rowOff>
    </xdr:to>
    <xdr:graphicFrame>
      <xdr:nvGraphicFramePr>
        <xdr:cNvPr id="3" name="Chart 3"/>
        <xdr:cNvGraphicFramePr/>
      </xdr:nvGraphicFramePr>
      <xdr:xfrm>
        <a:off x="6296025" y="6600825"/>
        <a:ext cx="4733925" cy="5314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0</xdr:rowOff>
    </xdr:from>
    <xdr:to>
      <xdr:col>10</xdr:col>
      <xdr:colOff>257175</xdr:colOff>
      <xdr:row>92</xdr:row>
      <xdr:rowOff>114300</xdr:rowOff>
    </xdr:to>
    <xdr:graphicFrame>
      <xdr:nvGraphicFramePr>
        <xdr:cNvPr id="1" name="Chart 1"/>
        <xdr:cNvGraphicFramePr/>
      </xdr:nvGraphicFramePr>
      <xdr:xfrm>
        <a:off x="66675" y="8705850"/>
        <a:ext cx="512445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60</xdr:row>
      <xdr:rowOff>9525</xdr:rowOff>
    </xdr:from>
    <xdr:to>
      <xdr:col>25</xdr:col>
      <xdr:colOff>200025</xdr:colOff>
      <xdr:row>92</xdr:row>
      <xdr:rowOff>142875</xdr:rowOff>
    </xdr:to>
    <xdr:graphicFrame>
      <xdr:nvGraphicFramePr>
        <xdr:cNvPr id="2" name="Chart 6"/>
        <xdr:cNvGraphicFramePr/>
      </xdr:nvGraphicFramePr>
      <xdr:xfrm>
        <a:off x="5257800" y="8715375"/>
        <a:ext cx="4733925" cy="5314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314325</xdr:colOff>
      <xdr:row>60</xdr:row>
      <xdr:rowOff>0</xdr:rowOff>
    </xdr:from>
    <xdr:to>
      <xdr:col>40</xdr:col>
      <xdr:colOff>200025</xdr:colOff>
      <xdr:row>92</xdr:row>
      <xdr:rowOff>142875</xdr:rowOff>
    </xdr:to>
    <xdr:graphicFrame>
      <xdr:nvGraphicFramePr>
        <xdr:cNvPr id="3" name="Chart 7"/>
        <xdr:cNvGraphicFramePr/>
      </xdr:nvGraphicFramePr>
      <xdr:xfrm>
        <a:off x="10106025" y="8705850"/>
        <a:ext cx="4743450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8</xdr:col>
      <xdr:colOff>504825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9525" y="5000625"/>
        <a:ext cx="44958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30</xdr:row>
      <xdr:rowOff>9525</xdr:rowOff>
    </xdr:from>
    <xdr:to>
      <xdr:col>16</xdr:col>
      <xdr:colOff>571500</xdr:colOff>
      <xdr:row>62</xdr:row>
      <xdr:rowOff>9525</xdr:rowOff>
    </xdr:to>
    <xdr:graphicFrame>
      <xdr:nvGraphicFramePr>
        <xdr:cNvPr id="2" name="Chart 3"/>
        <xdr:cNvGraphicFramePr/>
      </xdr:nvGraphicFramePr>
      <xdr:xfrm>
        <a:off x="4505325" y="5000625"/>
        <a:ext cx="447675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9525</xdr:rowOff>
    </xdr:from>
    <xdr:to>
      <xdr:col>16</xdr:col>
      <xdr:colOff>571500</xdr:colOff>
      <xdr:row>91</xdr:row>
      <xdr:rowOff>0</xdr:rowOff>
    </xdr:to>
    <xdr:graphicFrame>
      <xdr:nvGraphicFramePr>
        <xdr:cNvPr id="3" name="Chart 4"/>
        <xdr:cNvGraphicFramePr/>
      </xdr:nvGraphicFramePr>
      <xdr:xfrm>
        <a:off x="0" y="9629775"/>
        <a:ext cx="898207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9</xdr:col>
      <xdr:colOff>257175</xdr:colOff>
      <xdr:row>68</xdr:row>
      <xdr:rowOff>19050</xdr:rowOff>
    </xdr:to>
    <xdr:graphicFrame>
      <xdr:nvGraphicFramePr>
        <xdr:cNvPr id="1" name="Chart 1"/>
        <xdr:cNvGraphicFramePr/>
      </xdr:nvGraphicFramePr>
      <xdr:xfrm>
        <a:off x="0" y="5705475"/>
        <a:ext cx="481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35</xdr:row>
      <xdr:rowOff>0</xdr:rowOff>
    </xdr:from>
    <xdr:to>
      <xdr:col>18</xdr:col>
      <xdr:colOff>0</xdr:colOff>
      <xdr:row>68</xdr:row>
      <xdr:rowOff>19050</xdr:rowOff>
    </xdr:to>
    <xdr:graphicFrame>
      <xdr:nvGraphicFramePr>
        <xdr:cNvPr id="2" name="Chart 2"/>
        <xdr:cNvGraphicFramePr/>
      </xdr:nvGraphicFramePr>
      <xdr:xfrm>
        <a:off x="4733925" y="5705475"/>
        <a:ext cx="4838700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68</xdr:row>
      <xdr:rowOff>19050</xdr:rowOff>
    </xdr:from>
    <xdr:to>
      <xdr:col>18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9525" y="10610850"/>
        <a:ext cx="95631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AO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2" customWidth="1"/>
    <col min="2" max="41" width="4.8515625" style="2" customWidth="1"/>
    <col min="42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9" ht="11.25">
      <c r="A2" s="2" t="s">
        <v>9</v>
      </c>
      <c r="B2" s="2">
        <v>1000</v>
      </c>
      <c r="C2" s="2" t="s">
        <v>10</v>
      </c>
      <c r="F2" s="9"/>
      <c r="G2" s="7"/>
      <c r="H2" s="7"/>
      <c r="I2" s="9"/>
    </row>
    <row r="3" spans="1:9" ht="11.25">
      <c r="A3" s="2" t="s">
        <v>12</v>
      </c>
      <c r="B3" s="2">
        <v>15</v>
      </c>
      <c r="C3" s="2" t="s">
        <v>11</v>
      </c>
      <c r="F3" s="9"/>
      <c r="G3" s="8"/>
      <c r="H3" s="8"/>
      <c r="I3" s="9"/>
    </row>
    <row r="4" spans="1:9" ht="11.25">
      <c r="A4" s="2" t="s">
        <v>13</v>
      </c>
      <c r="B4" s="2">
        <v>20</v>
      </c>
      <c r="C4" s="2" t="s">
        <v>11</v>
      </c>
      <c r="F4" s="9"/>
      <c r="G4" s="8"/>
      <c r="H4" s="8"/>
      <c r="I4" s="9"/>
    </row>
    <row r="5" spans="1:9" ht="11.25">
      <c r="A5" s="2" t="s">
        <v>16</v>
      </c>
      <c r="B5" s="3">
        <v>0.1</v>
      </c>
      <c r="F5" s="9"/>
      <c r="G5" s="8"/>
      <c r="H5" s="8"/>
      <c r="I5" s="9"/>
    </row>
    <row r="6" spans="1:9" ht="11.25">
      <c r="A6" s="2" t="s">
        <v>14</v>
      </c>
      <c r="B6" s="3">
        <v>-0.02</v>
      </c>
      <c r="F6" s="9"/>
      <c r="G6" s="8"/>
      <c r="H6" s="8"/>
      <c r="I6" s="9"/>
    </row>
    <row r="7" spans="1:9" ht="11.25">
      <c r="A7" s="2" t="s">
        <v>15</v>
      </c>
      <c r="B7" s="10">
        <f>(1+B5)*(1+B6)-1</f>
        <v>0.07800000000000007</v>
      </c>
      <c r="F7" s="9"/>
      <c r="G7" s="9"/>
      <c r="H7" s="9"/>
      <c r="I7" s="9"/>
    </row>
    <row r="9" spans="1:41" ht="11.25">
      <c r="A9" s="1" t="s">
        <v>17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f aca="true" t="shared" si="0" ref="AG9:AO9">AF9+1</f>
        <v>32</v>
      </c>
      <c r="AH9" s="2">
        <f t="shared" si="0"/>
        <v>33</v>
      </c>
      <c r="AI9" s="2">
        <f t="shared" si="0"/>
        <v>34</v>
      </c>
      <c r="AJ9" s="2">
        <f t="shared" si="0"/>
        <v>35</v>
      </c>
      <c r="AK9" s="2">
        <f t="shared" si="0"/>
        <v>36</v>
      </c>
      <c r="AL9" s="2">
        <f t="shared" si="0"/>
        <v>37</v>
      </c>
      <c r="AM9" s="2">
        <f t="shared" si="0"/>
        <v>38</v>
      </c>
      <c r="AN9" s="2">
        <f t="shared" si="0"/>
        <v>39</v>
      </c>
      <c r="AO9" s="2">
        <f t="shared" si="0"/>
        <v>40</v>
      </c>
    </row>
    <row r="10" ht="11.25">
      <c r="A10" s="1"/>
    </row>
    <row r="11" ht="11.25">
      <c r="A11" s="1" t="s">
        <v>18</v>
      </c>
    </row>
    <row r="12" spans="1:41" ht="11.25">
      <c r="A12" s="2" t="s">
        <v>19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1.25">
      <c r="A13" s="2" t="s">
        <v>20</v>
      </c>
      <c r="B13" s="5">
        <f>B$12*$B$2/(1+$B$6)^(B$9-1)</f>
        <v>1000</v>
      </c>
      <c r="C13" s="5">
        <f aca="true" t="shared" si="1" ref="C13:AO13">C$12*$B$2*$B$4/(1+$B$6)^(C$9-1)</f>
        <v>0</v>
      </c>
      <c r="D13" s="5">
        <f t="shared" si="1"/>
        <v>0</v>
      </c>
      <c r="E13" s="5">
        <f t="shared" si="1"/>
        <v>0</v>
      </c>
      <c r="F13" s="5">
        <f t="shared" si="1"/>
        <v>0</v>
      </c>
      <c r="G13" s="5">
        <f t="shared" si="1"/>
        <v>0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0</v>
      </c>
      <c r="L13" s="5">
        <f t="shared" si="1"/>
        <v>0</v>
      </c>
      <c r="M13" s="5">
        <f t="shared" si="1"/>
        <v>0</v>
      </c>
      <c r="N13" s="5">
        <f t="shared" si="1"/>
        <v>0</v>
      </c>
      <c r="O13" s="5">
        <f t="shared" si="1"/>
        <v>0</v>
      </c>
      <c r="P13" s="5">
        <f t="shared" si="1"/>
        <v>0</v>
      </c>
      <c r="Q13" s="5">
        <f t="shared" si="1"/>
        <v>0</v>
      </c>
      <c r="R13" s="5">
        <f t="shared" si="1"/>
        <v>0</v>
      </c>
      <c r="S13" s="5">
        <f t="shared" si="1"/>
        <v>0</v>
      </c>
      <c r="T13" s="5">
        <f t="shared" si="1"/>
        <v>0</v>
      </c>
      <c r="U13" s="5">
        <f t="shared" si="1"/>
        <v>0</v>
      </c>
      <c r="V13" s="5">
        <f t="shared" si="1"/>
        <v>0</v>
      </c>
      <c r="W13" s="5">
        <f t="shared" si="1"/>
        <v>0</v>
      </c>
      <c r="X13" s="5">
        <f t="shared" si="1"/>
        <v>0</v>
      </c>
      <c r="Y13" s="5">
        <f t="shared" si="1"/>
        <v>0</v>
      </c>
      <c r="Z13" s="5">
        <f t="shared" si="1"/>
        <v>0</v>
      </c>
      <c r="AA13" s="5">
        <f t="shared" si="1"/>
        <v>0</v>
      </c>
      <c r="AB13" s="5">
        <f t="shared" si="1"/>
        <v>0</v>
      </c>
      <c r="AC13" s="5">
        <f t="shared" si="1"/>
        <v>0</v>
      </c>
      <c r="AD13" s="5">
        <f t="shared" si="1"/>
        <v>0</v>
      </c>
      <c r="AE13" s="5">
        <f t="shared" si="1"/>
        <v>0</v>
      </c>
      <c r="AF13" s="5">
        <f t="shared" si="1"/>
        <v>0</v>
      </c>
      <c r="AG13" s="5">
        <f t="shared" si="1"/>
        <v>0</v>
      </c>
      <c r="AH13" s="5">
        <f t="shared" si="1"/>
        <v>0</v>
      </c>
      <c r="AI13" s="5">
        <f t="shared" si="1"/>
        <v>0</v>
      </c>
      <c r="AJ13" s="5">
        <f t="shared" si="1"/>
        <v>0</v>
      </c>
      <c r="AK13" s="5">
        <f t="shared" si="1"/>
        <v>0</v>
      </c>
      <c r="AL13" s="5">
        <f t="shared" si="1"/>
        <v>0</v>
      </c>
      <c r="AM13" s="5">
        <f t="shared" si="1"/>
        <v>0</v>
      </c>
      <c r="AN13" s="5">
        <f t="shared" si="1"/>
        <v>0</v>
      </c>
      <c r="AO13" s="5">
        <f t="shared" si="1"/>
        <v>0</v>
      </c>
    </row>
    <row r="14" spans="1:41" ht="11.25">
      <c r="A14" s="12" t="s">
        <v>21</v>
      </c>
      <c r="B14" s="13">
        <f>B13</f>
        <v>1000</v>
      </c>
      <c r="C14" s="14">
        <f aca="true" t="shared" si="2" ref="C14:AO14">B14+C13/(1+$B$5)^(C$9-1)</f>
        <v>1000</v>
      </c>
      <c r="D14" s="14">
        <f t="shared" si="2"/>
        <v>1000</v>
      </c>
      <c r="E14" s="14">
        <f t="shared" si="2"/>
        <v>1000</v>
      </c>
      <c r="F14" s="14">
        <f t="shared" si="2"/>
        <v>1000</v>
      </c>
      <c r="G14" s="14">
        <f t="shared" si="2"/>
        <v>1000</v>
      </c>
      <c r="H14" s="14">
        <f t="shared" si="2"/>
        <v>1000</v>
      </c>
      <c r="I14" s="14">
        <f t="shared" si="2"/>
        <v>1000</v>
      </c>
      <c r="J14" s="14">
        <f t="shared" si="2"/>
        <v>1000</v>
      </c>
      <c r="K14" s="14">
        <f t="shared" si="2"/>
        <v>1000</v>
      </c>
      <c r="L14" s="14">
        <f t="shared" si="2"/>
        <v>1000</v>
      </c>
      <c r="M14" s="14">
        <f t="shared" si="2"/>
        <v>1000</v>
      </c>
      <c r="N14" s="14">
        <f t="shared" si="2"/>
        <v>1000</v>
      </c>
      <c r="O14" s="14">
        <f t="shared" si="2"/>
        <v>1000</v>
      </c>
      <c r="P14" s="14">
        <f t="shared" si="2"/>
        <v>1000</v>
      </c>
      <c r="Q14" s="14">
        <f t="shared" si="2"/>
        <v>1000</v>
      </c>
      <c r="R14" s="14">
        <f t="shared" si="2"/>
        <v>1000</v>
      </c>
      <c r="S14" s="14">
        <f t="shared" si="2"/>
        <v>1000</v>
      </c>
      <c r="T14" s="14">
        <f t="shared" si="2"/>
        <v>1000</v>
      </c>
      <c r="U14" s="14">
        <f t="shared" si="2"/>
        <v>1000</v>
      </c>
      <c r="V14" s="14">
        <f t="shared" si="2"/>
        <v>1000</v>
      </c>
      <c r="W14" s="14">
        <f t="shared" si="2"/>
        <v>1000</v>
      </c>
      <c r="X14" s="14">
        <f t="shared" si="2"/>
        <v>1000</v>
      </c>
      <c r="Y14" s="14">
        <f t="shared" si="2"/>
        <v>1000</v>
      </c>
      <c r="Z14" s="14">
        <f t="shared" si="2"/>
        <v>1000</v>
      </c>
      <c r="AA14" s="14">
        <f t="shared" si="2"/>
        <v>1000</v>
      </c>
      <c r="AB14" s="14">
        <f t="shared" si="2"/>
        <v>1000</v>
      </c>
      <c r="AC14" s="14">
        <f t="shared" si="2"/>
        <v>1000</v>
      </c>
      <c r="AD14" s="14">
        <f t="shared" si="2"/>
        <v>1000</v>
      </c>
      <c r="AE14" s="14">
        <f t="shared" si="2"/>
        <v>1000</v>
      </c>
      <c r="AF14" s="14">
        <f t="shared" si="2"/>
        <v>1000</v>
      </c>
      <c r="AG14" s="14">
        <f t="shared" si="2"/>
        <v>1000</v>
      </c>
      <c r="AH14" s="14">
        <f t="shared" si="2"/>
        <v>1000</v>
      </c>
      <c r="AI14" s="14">
        <f t="shared" si="2"/>
        <v>1000</v>
      </c>
      <c r="AJ14" s="14">
        <f t="shared" si="2"/>
        <v>1000</v>
      </c>
      <c r="AK14" s="14">
        <f t="shared" si="2"/>
        <v>1000</v>
      </c>
      <c r="AL14" s="14">
        <f t="shared" si="2"/>
        <v>1000</v>
      </c>
      <c r="AM14" s="14">
        <f t="shared" si="2"/>
        <v>1000</v>
      </c>
      <c r="AN14" s="14">
        <f t="shared" si="2"/>
        <v>1000</v>
      </c>
      <c r="AO14" s="14">
        <f t="shared" si="2"/>
        <v>1000</v>
      </c>
    </row>
    <row r="15" ht="11.25">
      <c r="A15" s="1"/>
    </row>
    <row r="16" spans="1:3" ht="11.25">
      <c r="A16" s="1" t="s">
        <v>22</v>
      </c>
      <c r="B16" s="2">
        <f>B3</f>
        <v>15</v>
      </c>
      <c r="C16" s="2" t="s">
        <v>11</v>
      </c>
    </row>
    <row r="17" spans="1:41" ht="11.25">
      <c r="A17" s="2" t="s">
        <v>23</v>
      </c>
      <c r="B17" s="5">
        <f>vlin(B$9,$B$13:B$13,$B16)</f>
        <v>1000</v>
      </c>
      <c r="C17" s="5">
        <f>vlin(C$9,$B$13:C$13,$B16)</f>
        <v>933.3333333333334</v>
      </c>
      <c r="D17" s="5">
        <f>vlin(D$9,$B$13:D$13,$B16)</f>
        <v>866.6666666666667</v>
      </c>
      <c r="E17" s="5">
        <f>vlin(E$9,$B$13:E$13,$B16)</f>
        <v>800</v>
      </c>
      <c r="F17" s="5">
        <f>vlin(F$9,$B$13:F$13,$B16)</f>
        <v>733.3333333333333</v>
      </c>
      <c r="G17" s="5">
        <f>vlin(G$9,$B$13:G$13,$B16)</f>
        <v>666.6666666666666</v>
      </c>
      <c r="H17" s="5">
        <f>vlin(H$9,$B$13:H$13,$B16)</f>
        <v>600</v>
      </c>
      <c r="I17" s="5">
        <f>vlin(I$9,$B$13:I$13,$B16)</f>
        <v>533.3333333333334</v>
      </c>
      <c r="J17" s="5">
        <f>vlin(J$9,$B$13:J$13,$B16)</f>
        <v>466.6666666666667</v>
      </c>
      <c r="K17" s="5">
        <f>vlin(K$9,$B$13:K$13,$B16)</f>
        <v>400</v>
      </c>
      <c r="L17" s="5">
        <f>vlin(L$9,$B$13:L$13,$B16)</f>
        <v>333.3333333333333</v>
      </c>
      <c r="M17" s="5">
        <f>vlin(M$9,$B$13:M$13,$B16)</f>
        <v>266.6666666666667</v>
      </c>
      <c r="N17" s="5">
        <f>vlin(N$9,$B$13:N$13,$B16)</f>
        <v>200</v>
      </c>
      <c r="O17" s="5">
        <f>vlin(O$9,$B$13:O$13,$B16)</f>
        <v>133.33333333333334</v>
      </c>
      <c r="P17" s="5">
        <f>vlin(P$9,$B$13:P$13,$B16)</f>
        <v>66.66666666666667</v>
      </c>
      <c r="Q17" s="5">
        <f>vlin(Q$9,$B$13:Q$13,$B16)</f>
        <v>0</v>
      </c>
      <c r="R17" s="5">
        <f>vlin(R$9,$B$13:R$13,$B16)</f>
        <v>0</v>
      </c>
      <c r="S17" s="5">
        <f>vlin(S$9,$B$13:S$13,$B16)</f>
        <v>0</v>
      </c>
      <c r="T17" s="5">
        <f>vlin(T$9,$B$13:T$13,$B16)</f>
        <v>0</v>
      </c>
      <c r="U17" s="19">
        <f>vlin(U$9,$B$13:U$13,$B16)</f>
        <v>0</v>
      </c>
      <c r="V17" s="5">
        <f>vlin(V$9,$B$13:V$13,$B16)</f>
        <v>0</v>
      </c>
      <c r="W17" s="5">
        <f>vlin(W$9,$B$13:W$13,$B16)</f>
        <v>0</v>
      </c>
      <c r="X17" s="5">
        <f>vlin(X$9,$B$13:X$13,$B16)</f>
        <v>0</v>
      </c>
      <c r="Y17" s="5">
        <f>vlin(Y$9,$B$13:Y$13,$B16)</f>
        <v>0</v>
      </c>
      <c r="Z17" s="5">
        <f>vlin(Z$9,$B$13:Z$13,$B16)</f>
        <v>0</v>
      </c>
      <c r="AA17" s="5">
        <f>vlin(AA$9,$B$13:AA$13,$B16)</f>
        <v>0</v>
      </c>
      <c r="AB17" s="5">
        <f>vlin(AB$9,$B$13:AB$13,$B16)</f>
        <v>0</v>
      </c>
      <c r="AC17" s="5">
        <f>vlin(AC$9,$B$13:AC$13,$B16)</f>
        <v>0</v>
      </c>
      <c r="AD17" s="5">
        <f>vlin(AD$9,$B$13:AD$13,$B16)</f>
        <v>0</v>
      </c>
      <c r="AE17" s="5">
        <f>vlin(AE$9,$B$13:AE$13,$B16)</f>
        <v>0</v>
      </c>
      <c r="AF17" s="5">
        <f>vlin(AF$9,$B$13:AF$13,$B16)</f>
        <v>0</v>
      </c>
      <c r="AG17" s="5">
        <f>vlin(AG$9,$B$13:AG$13,$B16)</f>
        <v>0</v>
      </c>
      <c r="AH17" s="5">
        <f>vlin(AH$9,$B$13:AH$13,$B16)</f>
        <v>0</v>
      </c>
      <c r="AI17" s="5">
        <f>vlin(AI$9,$B$13:AI$13,$B16)</f>
        <v>0</v>
      </c>
      <c r="AJ17" s="5">
        <f>vlin(AJ$9,$B$13:AJ$13,$B16)</f>
        <v>0</v>
      </c>
      <c r="AK17" s="5">
        <f>vlin(AK$9,$B$13:AK$13,$B16)</f>
        <v>0</v>
      </c>
      <c r="AL17" s="5">
        <f>vlin(AL$9,$B$13:AL$13,$B16)</f>
        <v>0</v>
      </c>
      <c r="AM17" s="5">
        <f>vlin(AM$9,$B$13:AM$13,$B16)</f>
        <v>0</v>
      </c>
      <c r="AN17" s="5">
        <f>vlin(AN$9,$B$13:AN$13,$B16)</f>
        <v>0</v>
      </c>
      <c r="AO17" s="5">
        <f>vlin(AO$9,$B$13:AO$13,$B16)</f>
        <v>0</v>
      </c>
    </row>
    <row r="18" spans="1:41" ht="11.25">
      <c r="A18" s="2" t="s">
        <v>24</v>
      </c>
      <c r="B18" s="5">
        <f>B17-B19</f>
        <v>933.3333333333334</v>
      </c>
      <c r="C18" s="5">
        <f aca="true" t="shared" si="3" ref="C18:AO18">C17-C19</f>
        <v>866.6666666666667</v>
      </c>
      <c r="D18" s="5">
        <f t="shared" si="3"/>
        <v>800.0000000000001</v>
      </c>
      <c r="E18" s="5">
        <f t="shared" si="3"/>
        <v>733.3333333333333</v>
      </c>
      <c r="F18" s="5">
        <f t="shared" si="3"/>
        <v>666.6666666666666</v>
      </c>
      <c r="G18" s="5">
        <f t="shared" si="3"/>
        <v>600</v>
      </c>
      <c r="H18" s="5">
        <f t="shared" si="3"/>
        <v>533.3333333333334</v>
      </c>
      <c r="I18" s="5">
        <f t="shared" si="3"/>
        <v>466.66666666666674</v>
      </c>
      <c r="J18" s="5">
        <f t="shared" si="3"/>
        <v>400</v>
      </c>
      <c r="K18" s="5">
        <f t="shared" si="3"/>
        <v>333.33333333333326</v>
      </c>
      <c r="L18" s="5">
        <f t="shared" si="3"/>
        <v>266.66666666666663</v>
      </c>
      <c r="M18" s="5">
        <f t="shared" si="3"/>
        <v>200.00000000000003</v>
      </c>
      <c r="N18" s="5">
        <f t="shared" si="3"/>
        <v>133.33333333333331</v>
      </c>
      <c r="O18" s="5">
        <f t="shared" si="3"/>
        <v>66.66666666666667</v>
      </c>
      <c r="P18" s="5">
        <f t="shared" si="3"/>
        <v>0</v>
      </c>
      <c r="Q18" s="5">
        <f t="shared" si="3"/>
        <v>0</v>
      </c>
      <c r="R18" s="5">
        <f t="shared" si="3"/>
        <v>0</v>
      </c>
      <c r="S18" s="5">
        <f t="shared" si="3"/>
        <v>0</v>
      </c>
      <c r="T18" s="5">
        <f t="shared" si="3"/>
        <v>0</v>
      </c>
      <c r="U18" s="5">
        <f t="shared" si="3"/>
        <v>0</v>
      </c>
      <c r="V18" s="5">
        <f t="shared" si="3"/>
        <v>0</v>
      </c>
      <c r="W18" s="5">
        <f t="shared" si="3"/>
        <v>0</v>
      </c>
      <c r="X18" s="5">
        <f t="shared" si="3"/>
        <v>0</v>
      </c>
      <c r="Y18" s="5">
        <f t="shared" si="3"/>
        <v>0</v>
      </c>
      <c r="Z18" s="5">
        <f t="shared" si="3"/>
        <v>0</v>
      </c>
      <c r="AA18" s="5">
        <f t="shared" si="3"/>
        <v>0</v>
      </c>
      <c r="AB18" s="5">
        <f t="shared" si="3"/>
        <v>0</v>
      </c>
      <c r="AC18" s="5">
        <f t="shared" si="3"/>
        <v>0</v>
      </c>
      <c r="AD18" s="5">
        <f t="shared" si="3"/>
        <v>0</v>
      </c>
      <c r="AE18" s="5">
        <f t="shared" si="3"/>
        <v>0</v>
      </c>
      <c r="AF18" s="5">
        <f t="shared" si="3"/>
        <v>0</v>
      </c>
      <c r="AG18" s="5">
        <f t="shared" si="3"/>
        <v>0</v>
      </c>
      <c r="AH18" s="5">
        <f t="shared" si="3"/>
        <v>0</v>
      </c>
      <c r="AI18" s="5">
        <f t="shared" si="3"/>
        <v>0</v>
      </c>
      <c r="AJ18" s="5">
        <f t="shared" si="3"/>
        <v>0</v>
      </c>
      <c r="AK18" s="5">
        <f t="shared" si="3"/>
        <v>0</v>
      </c>
      <c r="AL18" s="5">
        <f t="shared" si="3"/>
        <v>0</v>
      </c>
      <c r="AM18" s="5">
        <f t="shared" si="3"/>
        <v>0</v>
      </c>
      <c r="AN18" s="5">
        <f t="shared" si="3"/>
        <v>0</v>
      </c>
      <c r="AO18" s="5">
        <f t="shared" si="3"/>
        <v>0</v>
      </c>
    </row>
    <row r="19" spans="1:41" ht="11.25">
      <c r="A19" s="2" t="s">
        <v>2</v>
      </c>
      <c r="B19" s="5">
        <f>DepLin(B$9,$B$13:B$13,$B16)</f>
        <v>66.66666666666666</v>
      </c>
      <c r="C19" s="5">
        <f>DepLin(C$9,$B$13:C$13,$B16)</f>
        <v>66.66666666666666</v>
      </c>
      <c r="D19" s="5">
        <f>DepLin(D$9,$B$13:D$13,$B16)</f>
        <v>66.66666666666666</v>
      </c>
      <c r="E19" s="5">
        <f>DepLin(E$9,$B$13:E$13,$B16)</f>
        <v>66.66666666666676</v>
      </c>
      <c r="F19" s="5">
        <f>DepLin(F$9,$B$13:F$13,$B16)</f>
        <v>66.66666666666666</v>
      </c>
      <c r="G19" s="5">
        <f>DepLin(G$9,$B$13:G$13,$B16)</f>
        <v>66.66666666666666</v>
      </c>
      <c r="H19" s="5">
        <f>DepLin(H$9,$B$13:H$13,$B16)</f>
        <v>66.66666666666666</v>
      </c>
      <c r="I19" s="5">
        <f>DepLin(I$9,$B$13:I$13,$B16)</f>
        <v>66.66666666666666</v>
      </c>
      <c r="J19" s="5">
        <f>DepLin(J$9,$B$13:J$13,$B16)</f>
        <v>66.66666666666666</v>
      </c>
      <c r="K19" s="5">
        <f>DepLin(K$9,$B$13:K$13,$B16)</f>
        <v>66.66666666666671</v>
      </c>
      <c r="L19" s="5">
        <f>DepLin(L$9,$B$13:L$13,$B16)</f>
        <v>66.66666666666666</v>
      </c>
      <c r="M19" s="5">
        <f>DepLin(M$9,$B$13:M$13,$B16)</f>
        <v>66.66666666666666</v>
      </c>
      <c r="N19" s="5">
        <f>DepLin(N$9,$B$13:N$13,$B16)</f>
        <v>66.66666666666669</v>
      </c>
      <c r="O19" s="5">
        <f>DepLin(O$9,$B$13:O$13,$B16)</f>
        <v>66.66666666666667</v>
      </c>
      <c r="P19" s="5">
        <f>DepLin(P$9,$B$13:P$13,$B16)</f>
        <v>66.66666666666667</v>
      </c>
      <c r="Q19" s="5">
        <f>DepLin(Q$9,$B$13:Q$13,$B16)</f>
        <v>0</v>
      </c>
      <c r="R19" s="5">
        <f>DepLin(R$9,$B$13:R$13,$B16)</f>
        <v>0</v>
      </c>
      <c r="S19" s="5">
        <f>DepLin(S$9,$B$13:S$13,$B16)</f>
        <v>0</v>
      </c>
      <c r="T19" s="5">
        <f>DepLin(T$9,$B$13:T$13,$B16)</f>
        <v>0</v>
      </c>
      <c r="U19" s="5">
        <f>DepLin(U$9,$B$13:U$13,$B16)</f>
        <v>0</v>
      </c>
      <c r="V19" s="5">
        <f>DepLin(V$9,$B$13:V$13,$B16)</f>
        <v>0</v>
      </c>
      <c r="W19" s="5">
        <f>DepLin(W$9,$B$13:W$13,$B16)</f>
        <v>0</v>
      </c>
      <c r="X19" s="5">
        <f>DepLin(X$9,$B$13:X$13,$B16)</f>
        <v>0</v>
      </c>
      <c r="Y19" s="5">
        <f>DepLin(Y$9,$B$13:Y$13,$B16)</f>
        <v>0</v>
      </c>
      <c r="Z19" s="5">
        <f>DepLin(Z$9,$B$13:Z$13,$B16)</f>
        <v>0</v>
      </c>
      <c r="AA19" s="5">
        <f>DepLin(AA$9,$B$13:AA$13,$B16)</f>
        <v>0</v>
      </c>
      <c r="AB19" s="5">
        <f>DepLin(AB$9,$B$13:AB$13,$B16)</f>
        <v>0</v>
      </c>
      <c r="AC19" s="5">
        <f>DepLin(AC$9,$B$13:AC$13,$B16)</f>
        <v>0</v>
      </c>
      <c r="AD19" s="5">
        <f>DepLin(AD$9,$B$13:AD$13,$B16)</f>
        <v>0</v>
      </c>
      <c r="AE19" s="5">
        <f>DepLin(AE$9,$B$13:AE$13,$B16)</f>
        <v>0</v>
      </c>
      <c r="AF19" s="5">
        <f>DepLin(AF$9,$B$13:AF$13,$B16)</f>
        <v>0</v>
      </c>
      <c r="AG19" s="5">
        <f>DepLin(AG$9,$B$13:AG$13,$B16)</f>
        <v>0</v>
      </c>
      <c r="AH19" s="5">
        <f>DepLin(AH$9,$B$13:AH$13,$B16)</f>
        <v>0</v>
      </c>
      <c r="AI19" s="5">
        <f>DepLin(AI$9,$B$13:AI$13,$B16)</f>
        <v>0</v>
      </c>
      <c r="AJ19" s="5">
        <f>DepLin(AJ$9,$B$13:AJ$13,$B16)</f>
        <v>0</v>
      </c>
      <c r="AK19" s="5">
        <f>DepLin(AK$9,$B$13:AK$13,$B16)</f>
        <v>0</v>
      </c>
      <c r="AL19" s="5">
        <f>DepLin(AL$9,$B$13:AL$13,$B16)</f>
        <v>0</v>
      </c>
      <c r="AM19" s="5">
        <f>DepLin(AM$9,$B$13:AM$13,$B16)</f>
        <v>0</v>
      </c>
      <c r="AN19" s="5">
        <f>DepLin(AN$9,$B$13:AN$13,$B16)</f>
        <v>0</v>
      </c>
      <c r="AO19" s="5">
        <f>DepLin(AO$9,$B$13:AO$13,$B16)</f>
        <v>0</v>
      </c>
    </row>
    <row r="20" spans="1:41" ht="11.25">
      <c r="A20" s="2" t="s">
        <v>25</v>
      </c>
      <c r="B20" s="6">
        <f aca="true" t="shared" si="4" ref="B20:AO20">($B$5*B17+B19)/(1+$B$5)</f>
        <v>151.5151515151515</v>
      </c>
      <c r="C20" s="6">
        <f t="shared" si="4"/>
        <v>145.45454545454544</v>
      </c>
      <c r="D20" s="6">
        <f t="shared" si="4"/>
        <v>139.3939393939394</v>
      </c>
      <c r="E20" s="6">
        <f t="shared" si="4"/>
        <v>133.3333333333334</v>
      </c>
      <c r="F20" s="6">
        <f t="shared" si="4"/>
        <v>127.27272727272727</v>
      </c>
      <c r="G20" s="6">
        <f t="shared" si="4"/>
        <v>121.21212121212119</v>
      </c>
      <c r="H20" s="6">
        <f t="shared" si="4"/>
        <v>115.15151515151513</v>
      </c>
      <c r="I20" s="6">
        <f t="shared" si="4"/>
        <v>109.09090909090908</v>
      </c>
      <c r="J20" s="6">
        <f t="shared" si="4"/>
        <v>103.03030303030302</v>
      </c>
      <c r="K20" s="6">
        <f t="shared" si="4"/>
        <v>96.96969696969701</v>
      </c>
      <c r="L20" s="6">
        <f t="shared" si="4"/>
        <v>90.9090909090909</v>
      </c>
      <c r="M20" s="6">
        <f t="shared" si="4"/>
        <v>84.84848484848484</v>
      </c>
      <c r="N20" s="6">
        <f t="shared" si="4"/>
        <v>78.7878787878788</v>
      </c>
      <c r="O20" s="6">
        <f t="shared" si="4"/>
        <v>72.72727272727272</v>
      </c>
      <c r="P20" s="6">
        <f t="shared" si="4"/>
        <v>66.66666666666667</v>
      </c>
      <c r="Q20" s="6">
        <f t="shared" si="4"/>
        <v>0</v>
      </c>
      <c r="R20" s="6">
        <f t="shared" si="4"/>
        <v>0</v>
      </c>
      <c r="S20" s="6">
        <f t="shared" si="4"/>
        <v>0</v>
      </c>
      <c r="T20" s="6">
        <f t="shared" si="4"/>
        <v>0</v>
      </c>
      <c r="U20" s="6">
        <f t="shared" si="4"/>
        <v>0</v>
      </c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6">
        <f t="shared" si="4"/>
        <v>0</v>
      </c>
      <c r="AA20" s="6">
        <f t="shared" si="4"/>
        <v>0</v>
      </c>
      <c r="AB20" s="6">
        <f t="shared" si="4"/>
        <v>0</v>
      </c>
      <c r="AC20" s="6">
        <f t="shared" si="4"/>
        <v>0</v>
      </c>
      <c r="AD20" s="6">
        <f t="shared" si="4"/>
        <v>0</v>
      </c>
      <c r="AE20" s="6">
        <f t="shared" si="4"/>
        <v>0</v>
      </c>
      <c r="AF20" s="6">
        <f t="shared" si="4"/>
        <v>0</v>
      </c>
      <c r="AG20" s="6">
        <f t="shared" si="4"/>
        <v>0</v>
      </c>
      <c r="AH20" s="6">
        <f t="shared" si="4"/>
        <v>0</v>
      </c>
      <c r="AI20" s="6">
        <f t="shared" si="4"/>
        <v>0</v>
      </c>
      <c r="AJ20" s="6">
        <f t="shared" si="4"/>
        <v>0</v>
      </c>
      <c r="AK20" s="6">
        <f t="shared" si="4"/>
        <v>0</v>
      </c>
      <c r="AL20" s="6">
        <f t="shared" si="4"/>
        <v>0</v>
      </c>
      <c r="AM20" s="6">
        <f t="shared" si="4"/>
        <v>0</v>
      </c>
      <c r="AN20" s="6">
        <f t="shared" si="4"/>
        <v>0</v>
      </c>
      <c r="AO20" s="6">
        <f t="shared" si="4"/>
        <v>0</v>
      </c>
    </row>
    <row r="21" spans="1:41" ht="11.25">
      <c r="A21" s="12" t="s">
        <v>26</v>
      </c>
      <c r="B21" s="13">
        <f>B20</f>
        <v>151.5151515151515</v>
      </c>
      <c r="C21" s="14">
        <f aca="true" t="shared" si="5" ref="C21:AO21">B21+C20/(1+$B$5)^(C$9-1)</f>
        <v>283.7465564738292</v>
      </c>
      <c r="D21" s="14">
        <f t="shared" si="5"/>
        <v>398.94815927873776</v>
      </c>
      <c r="E21" s="14">
        <f t="shared" si="5"/>
        <v>499.1234660656148</v>
      </c>
      <c r="F21" s="14">
        <f t="shared" si="5"/>
        <v>586.0524512938965</v>
      </c>
      <c r="G21" s="14">
        <f t="shared" si="5"/>
        <v>661.3156419677334</v>
      </c>
      <c r="H21" s="14">
        <f t="shared" si="5"/>
        <v>726.3156702769562</v>
      </c>
      <c r="I21" s="14">
        <f t="shared" si="5"/>
        <v>782.2965559021242</v>
      </c>
      <c r="J21" s="14">
        <f t="shared" si="5"/>
        <v>830.3609526510057</v>
      </c>
      <c r="K21" s="14">
        <f t="shared" si="5"/>
        <v>871.4855701901557</v>
      </c>
      <c r="L21" s="14">
        <f t="shared" si="5"/>
        <v>906.534960138295</v>
      </c>
      <c r="M21" s="14">
        <f t="shared" si="5"/>
        <v>936.2738364579283</v>
      </c>
      <c r="N21" s="14">
        <f t="shared" si="5"/>
        <v>961.3780827017746</v>
      </c>
      <c r="O21" s="14">
        <f t="shared" si="5"/>
        <v>982.444583046261</v>
      </c>
      <c r="P21" s="14">
        <f t="shared" si="5"/>
        <v>999.9999999999997</v>
      </c>
      <c r="Q21" s="14">
        <f t="shared" si="5"/>
        <v>999.9999999999997</v>
      </c>
      <c r="R21" s="14">
        <f t="shared" si="5"/>
        <v>999.9999999999997</v>
      </c>
      <c r="S21" s="14">
        <f t="shared" si="5"/>
        <v>999.9999999999997</v>
      </c>
      <c r="T21" s="14">
        <f t="shared" si="5"/>
        <v>999.9999999999997</v>
      </c>
      <c r="U21" s="14">
        <f t="shared" si="5"/>
        <v>999.9999999999997</v>
      </c>
      <c r="V21" s="14">
        <f t="shared" si="5"/>
        <v>999.9999999999997</v>
      </c>
      <c r="W21" s="14">
        <f t="shared" si="5"/>
        <v>999.9999999999997</v>
      </c>
      <c r="X21" s="14">
        <f t="shared" si="5"/>
        <v>999.9999999999997</v>
      </c>
      <c r="Y21" s="14">
        <f t="shared" si="5"/>
        <v>999.9999999999997</v>
      </c>
      <c r="Z21" s="14">
        <f t="shared" si="5"/>
        <v>999.9999999999997</v>
      </c>
      <c r="AA21" s="14">
        <f t="shared" si="5"/>
        <v>999.9999999999997</v>
      </c>
      <c r="AB21" s="14">
        <f t="shared" si="5"/>
        <v>999.9999999999997</v>
      </c>
      <c r="AC21" s="14">
        <f t="shared" si="5"/>
        <v>999.9999999999997</v>
      </c>
      <c r="AD21" s="14">
        <f t="shared" si="5"/>
        <v>999.9999999999997</v>
      </c>
      <c r="AE21" s="14">
        <f t="shared" si="5"/>
        <v>999.9999999999997</v>
      </c>
      <c r="AF21" s="14">
        <f t="shared" si="5"/>
        <v>999.9999999999997</v>
      </c>
      <c r="AG21" s="14">
        <f t="shared" si="5"/>
        <v>999.9999999999997</v>
      </c>
      <c r="AH21" s="14">
        <f t="shared" si="5"/>
        <v>999.9999999999997</v>
      </c>
      <c r="AI21" s="14">
        <f t="shared" si="5"/>
        <v>999.9999999999997</v>
      </c>
      <c r="AJ21" s="14">
        <f t="shared" si="5"/>
        <v>999.9999999999997</v>
      </c>
      <c r="AK21" s="14">
        <f t="shared" si="5"/>
        <v>999.9999999999997</v>
      </c>
      <c r="AL21" s="14">
        <f t="shared" si="5"/>
        <v>999.9999999999997</v>
      </c>
      <c r="AM21" s="14">
        <f t="shared" si="5"/>
        <v>999.9999999999997</v>
      </c>
      <c r="AN21" s="14">
        <f t="shared" si="5"/>
        <v>999.9999999999997</v>
      </c>
      <c r="AO21" s="14">
        <f t="shared" si="5"/>
        <v>999.9999999999997</v>
      </c>
    </row>
    <row r="22" spans="1:41" s="18" customFormat="1" ht="11.25">
      <c r="A22" s="15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3" ht="11.25">
      <c r="A23" s="1" t="s">
        <v>27</v>
      </c>
      <c r="B23" s="2">
        <f>B3</f>
        <v>15</v>
      </c>
      <c r="C23" s="2" t="s">
        <v>11</v>
      </c>
    </row>
    <row r="24" spans="1:41" ht="11.25">
      <c r="A24" s="2" t="s">
        <v>6</v>
      </c>
      <c r="B24" s="5">
        <f>Vcour(B$9,$B$13:B$13,$B23,$B$6)</f>
        <v>1000</v>
      </c>
      <c r="C24" s="5">
        <f>Vcour(C$9,$B$13:C$13,$B23,$B$6)</f>
        <v>952.3809523809524</v>
      </c>
      <c r="D24" s="5">
        <f>Vcour(D$9,$B$13:D$13,$B23,$B$6)</f>
        <v>902.4017770373456</v>
      </c>
      <c r="E24" s="5">
        <f>Vcour(E$9,$B$13:E$13,$B23,$B$6)</f>
        <v>849.9859752314087</v>
      </c>
      <c r="F24" s="5">
        <f>Vcour(F$9,$B$13:F$13,$B23,$B$6)</f>
        <v>795.0549088048891</v>
      </c>
      <c r="G24" s="5">
        <f>Vcour(G$9,$B$13:G$13,$B23,$B$6)</f>
        <v>737.5277447169658</v>
      </c>
      <c r="H24" s="5">
        <f>Vcour(H$9,$B$13:H$13,$B23,$B$6)</f>
        <v>677.3213982094584</v>
      </c>
      <c r="I24" s="5">
        <f>Vcour(I$9,$B$13:I$13,$B23,$B$6)</f>
        <v>614.3504745664021</v>
      </c>
      <c r="J24" s="5">
        <f>Vcour(J$9,$B$13:J$13,$B23,$B$6)</f>
        <v>548.5272094342877</v>
      </c>
      <c r="K24" s="5">
        <f>Vcour(K$9,$B$13:K$13,$B23,$B$6)</f>
        <v>479.76140766847317</v>
      </c>
      <c r="L24" s="5">
        <f>Vcour(L$9,$B$13:L$13,$B23,$B$6)</f>
        <v>407.96038067047044</v>
      </c>
      <c r="M24" s="5">
        <f>Vcour(M$9,$B$13:M$13,$B23,$B$6)</f>
        <v>333.0288821799758</v>
      </c>
      <c r="N24" s="5">
        <f>Vcour(N$9,$B$13:N$13,$B23,$B$6)</f>
        <v>254.8690424846754</v>
      </c>
      <c r="O24" s="5">
        <f>Vcour(O$9,$B$13:O$13,$B23,$B$6)</f>
        <v>173.38030100998327</v>
      </c>
      <c r="P24" s="5">
        <f>Vcour(P$9,$B$13:P$13,$B23,$B$6)</f>
        <v>88.45933724999148</v>
      </c>
      <c r="Q24" s="5">
        <f>Vcour(Q$9,$B$13:Q$13,$B23,$B$6)</f>
        <v>0</v>
      </c>
      <c r="R24" s="5">
        <f>Vcour(R$9,$B$13:R$13,$B23,$B$6)</f>
        <v>0</v>
      </c>
      <c r="S24" s="5">
        <f>Vcour(S$9,$B$13:S$13,$B23,$B$6)</f>
        <v>0</v>
      </c>
      <c r="T24" s="5">
        <f>Vcour(T$9,$B$13:T$13,$B23,$B$6)</f>
        <v>0</v>
      </c>
      <c r="U24" s="19">
        <f>Vcour(U$9,$B$13:U$13,$B23,$B$6)</f>
        <v>0</v>
      </c>
      <c r="V24" s="5">
        <f>Vcour(V$9,$B$13:V$13,$B23,$B$6)</f>
        <v>0</v>
      </c>
      <c r="W24" s="5">
        <f>Vcour(W$9,$B$13:W$13,$B23,$B$6)</f>
        <v>0</v>
      </c>
      <c r="X24" s="5">
        <f>Vcour(X$9,$B$13:X$13,$B23,$B$6)</f>
        <v>0</v>
      </c>
      <c r="Y24" s="5">
        <f>Vcour(Y$9,$B$13:Y$13,$B23,$B$6)</f>
        <v>0</v>
      </c>
      <c r="Z24" s="5">
        <f>Vcour(Z$9,$B$13:Z$13,$B23,$B$6)</f>
        <v>0</v>
      </c>
      <c r="AA24" s="5">
        <f>Vcour(AA$9,$B$13:AA$13,$B23,$B$6)</f>
        <v>0</v>
      </c>
      <c r="AB24" s="5">
        <f>Vcour(AB$9,$B$13:AB$13,$B23,$B$6)</f>
        <v>0</v>
      </c>
      <c r="AC24" s="5">
        <f>Vcour(AC$9,$B$13:AC$13,$B23,$B$6)</f>
        <v>0</v>
      </c>
      <c r="AD24" s="5">
        <f>Vcour(AD$9,$B$13:AD$13,$B23,$B$6)</f>
        <v>0</v>
      </c>
      <c r="AE24" s="5">
        <f>Vcour(AE$9,$B$13:AE$13,$B23,$B$6)</f>
        <v>0</v>
      </c>
      <c r="AF24" s="5">
        <f>Vcour(AF$9,$B$13:AF$13,$B23,$B$6)</f>
        <v>0</v>
      </c>
      <c r="AG24" s="5">
        <f>Vcour(AG$9,$B$13:AG$13,$B23,$B$6)</f>
        <v>0</v>
      </c>
      <c r="AH24" s="5">
        <f>Vcour(AH$9,$B$13:AH$13,$B23,$B$6)</f>
        <v>0</v>
      </c>
      <c r="AI24" s="5">
        <f>Vcour(AI$9,$B$13:AI$13,$B23,$B$6)</f>
        <v>0</v>
      </c>
      <c r="AJ24" s="5">
        <f>Vcour(AJ$9,$B$13:AJ$13,$B23,$B$6)</f>
        <v>0</v>
      </c>
      <c r="AK24" s="5">
        <f>Vcour(AK$9,$B$13:AK$13,$B23,$B$6)</f>
        <v>0</v>
      </c>
      <c r="AL24" s="5">
        <f>Vcour(AL$9,$B$13:AL$13,$B23,$B$6)</f>
        <v>0</v>
      </c>
      <c r="AM24" s="5">
        <f>Vcour(AM$9,$B$13:AM$13,$B23,$B$6)</f>
        <v>0</v>
      </c>
      <c r="AN24" s="5">
        <f>Vcour(AN$9,$B$13:AN$13,$B23,$B$6)</f>
        <v>0</v>
      </c>
      <c r="AO24" s="5">
        <f>Vcour(AO$9,$B$13:AO$13,$B23,$B$6)</f>
        <v>0</v>
      </c>
    </row>
    <row r="25" spans="1:41" ht="11.25">
      <c r="A25" s="2" t="s">
        <v>7</v>
      </c>
      <c r="B25" s="5">
        <f aca="true" t="shared" si="6" ref="B25:AO25">B24-B26</f>
        <v>952.3809523809524</v>
      </c>
      <c r="C25" s="5">
        <f t="shared" si="6"/>
        <v>902.4017770373456</v>
      </c>
      <c r="D25" s="5">
        <f t="shared" si="6"/>
        <v>849.9859752314087</v>
      </c>
      <c r="E25" s="5">
        <f t="shared" si="6"/>
        <v>795.0549088048891</v>
      </c>
      <c r="F25" s="5">
        <f t="shared" si="6"/>
        <v>737.5277447169658</v>
      </c>
      <c r="G25" s="5">
        <f t="shared" si="6"/>
        <v>677.3213982094584</v>
      </c>
      <c r="H25" s="5">
        <f t="shared" si="6"/>
        <v>614.3504745664021</v>
      </c>
      <c r="I25" s="5">
        <f t="shared" si="6"/>
        <v>548.5272094342877</v>
      </c>
      <c r="J25" s="5">
        <f t="shared" si="6"/>
        <v>479.76140766847317</v>
      </c>
      <c r="K25" s="5">
        <f t="shared" si="6"/>
        <v>407.96038067047044</v>
      </c>
      <c r="L25" s="5">
        <f t="shared" si="6"/>
        <v>333.0288821799758</v>
      </c>
      <c r="M25" s="5">
        <f t="shared" si="6"/>
        <v>254.8690424846754</v>
      </c>
      <c r="N25" s="5">
        <f t="shared" si="6"/>
        <v>173.38030100998327</v>
      </c>
      <c r="O25" s="5">
        <f t="shared" si="6"/>
        <v>88.45933724999146</v>
      </c>
      <c r="P25" s="5">
        <f t="shared" si="6"/>
        <v>0</v>
      </c>
      <c r="Q25" s="5">
        <f t="shared" si="6"/>
        <v>0</v>
      </c>
      <c r="R25" s="5">
        <f t="shared" si="6"/>
        <v>0</v>
      </c>
      <c r="S25" s="5">
        <f t="shared" si="6"/>
        <v>0</v>
      </c>
      <c r="T25" s="5">
        <f t="shared" si="6"/>
        <v>0</v>
      </c>
      <c r="U25" s="5">
        <f t="shared" si="6"/>
        <v>0</v>
      </c>
      <c r="V25" s="5">
        <f t="shared" si="6"/>
        <v>0</v>
      </c>
      <c r="W25" s="5">
        <f t="shared" si="6"/>
        <v>0</v>
      </c>
      <c r="X25" s="5">
        <f t="shared" si="6"/>
        <v>0</v>
      </c>
      <c r="Y25" s="5">
        <f t="shared" si="6"/>
        <v>0</v>
      </c>
      <c r="Z25" s="5">
        <f t="shared" si="6"/>
        <v>0</v>
      </c>
      <c r="AA25" s="5">
        <f t="shared" si="6"/>
        <v>0</v>
      </c>
      <c r="AB25" s="5">
        <f t="shared" si="6"/>
        <v>0</v>
      </c>
      <c r="AC25" s="5">
        <f t="shared" si="6"/>
        <v>0</v>
      </c>
      <c r="AD25" s="5">
        <f t="shared" si="6"/>
        <v>0</v>
      </c>
      <c r="AE25" s="5">
        <f t="shared" si="6"/>
        <v>0</v>
      </c>
      <c r="AF25" s="5">
        <f t="shared" si="6"/>
        <v>0</v>
      </c>
      <c r="AG25" s="5">
        <f t="shared" si="6"/>
        <v>0</v>
      </c>
      <c r="AH25" s="5">
        <f t="shared" si="6"/>
        <v>0</v>
      </c>
      <c r="AI25" s="5">
        <f t="shared" si="6"/>
        <v>0</v>
      </c>
      <c r="AJ25" s="5">
        <f t="shared" si="6"/>
        <v>0</v>
      </c>
      <c r="AK25" s="5">
        <f t="shared" si="6"/>
        <v>0</v>
      </c>
      <c r="AL25" s="5">
        <f t="shared" si="6"/>
        <v>0</v>
      </c>
      <c r="AM25" s="5">
        <f t="shared" si="6"/>
        <v>0</v>
      </c>
      <c r="AN25" s="5">
        <f t="shared" si="6"/>
        <v>0</v>
      </c>
      <c r="AO25" s="5">
        <f t="shared" si="6"/>
        <v>0</v>
      </c>
    </row>
    <row r="26" spans="1:41" ht="11.25">
      <c r="A26" s="2" t="s">
        <v>2</v>
      </c>
      <c r="B26" s="5">
        <f>DepCour(B$9,$B$13:B$13,$B23,$B$6)</f>
        <v>47.619047619047564</v>
      </c>
      <c r="C26" s="5">
        <f>DepCour(C$9,$B$13:C$13,$B23,$B$6)</f>
        <v>49.979175343606855</v>
      </c>
      <c r="D26" s="5">
        <f>DepCour(D$9,$B$13:D$13,$B23,$B$6)</f>
        <v>52.41580180593686</v>
      </c>
      <c r="E26" s="5">
        <f>DepCour(E$9,$B$13:E$13,$B23,$B$6)</f>
        <v>54.93106642651957</v>
      </c>
      <c r="F26" s="5">
        <f>DepCour(F$9,$B$13:F$13,$B23,$B$6)</f>
        <v>57.52716408792335</v>
      </c>
      <c r="G26" s="5">
        <f>DepCour(G$9,$B$13:G$13,$B23,$B$6)</f>
        <v>60.20634650750745</v>
      </c>
      <c r="H26" s="5">
        <f>DepCour(H$9,$B$13:H$13,$B23,$B$6)</f>
        <v>62.97092364305623</v>
      </c>
      <c r="I26" s="5">
        <f>DepCour(I$9,$B$13:I$13,$B23,$B$6)</f>
        <v>65.82326513211444</v>
      </c>
      <c r="J26" s="5">
        <f>DepCour(J$9,$B$13:J$13,$B23,$B$6)</f>
        <v>68.76580176581449</v>
      </c>
      <c r="K26" s="5">
        <f>DepCour(K$9,$B$13:K$13,$B23,$B$6)</f>
        <v>71.80102699800273</v>
      </c>
      <c r="L26" s="5">
        <f>DepCour(L$9,$B$13:L$13,$B23,$B$6)</f>
        <v>74.93149849049463</v>
      </c>
      <c r="M26" s="5">
        <f>DepCour(M$9,$B$13:M$13,$B23,$B$6)</f>
        <v>78.15983969530043</v>
      </c>
      <c r="N26" s="5">
        <f>DepCour(N$9,$B$13:N$13,$B23,$B$6)</f>
        <v>81.48874147469212</v>
      </c>
      <c r="O26" s="5">
        <f>DepCour(O$9,$B$13:O$13,$B23,$B$6)</f>
        <v>84.9209637599918</v>
      </c>
      <c r="P26" s="5">
        <f>DepCour(P$9,$B$13:P$13,$B23,$B$6)</f>
        <v>88.45933724999148</v>
      </c>
      <c r="Q26" s="5">
        <f>DepCour(Q$9,$B$13:Q$13,$B23,$B$6)</f>
        <v>0</v>
      </c>
      <c r="R26" s="5">
        <f>DepCour(R$9,$B$13:R$13,$B23,$B$6)</f>
        <v>0</v>
      </c>
      <c r="S26" s="5">
        <f>DepCour(S$9,$B$13:S$13,$B23,$B$6)</f>
        <v>0</v>
      </c>
      <c r="T26" s="5">
        <f>DepCour(T$9,$B$13:T$13,$B23,$B$6)</f>
        <v>0</v>
      </c>
      <c r="U26" s="5">
        <f>DepCour(U$9,$B$13:U$13,$B23,$B$6)</f>
        <v>0</v>
      </c>
      <c r="V26" s="5">
        <f>DepCour(V$9,$B$13:V$13,$B23,$B$6)</f>
        <v>0</v>
      </c>
      <c r="W26" s="5">
        <f>DepCour(W$9,$B$13:W$13,$B23,$B$6)</f>
        <v>0</v>
      </c>
      <c r="X26" s="5">
        <f>DepCour(X$9,$B$13:X$13,$B23,$B$6)</f>
        <v>0</v>
      </c>
      <c r="Y26" s="5">
        <f>DepCour(Y$9,$B$13:Y$13,$B23,$B$6)</f>
        <v>0</v>
      </c>
      <c r="Z26" s="5">
        <f>DepCour(Z$9,$B$13:Z$13,$B23,$B$6)</f>
        <v>0</v>
      </c>
      <c r="AA26" s="5">
        <f>DepCour(AA$9,$B$13:AA$13,$B23,$B$6)</f>
        <v>0</v>
      </c>
      <c r="AB26" s="5">
        <f>DepCour(AB$9,$B$13:AB$13,$B23,$B$6)</f>
        <v>0</v>
      </c>
      <c r="AC26" s="5">
        <f>DepCour(AC$9,$B$13:AC$13,$B23,$B$6)</f>
        <v>0</v>
      </c>
      <c r="AD26" s="5">
        <f>DepCour(AD$9,$B$13:AD$13,$B23,$B$6)</f>
        <v>0</v>
      </c>
      <c r="AE26" s="5">
        <f>DepCour(AE$9,$B$13:AE$13,$B23,$B$6)</f>
        <v>0</v>
      </c>
      <c r="AF26" s="5">
        <f>DepCour(AF$9,$B$13:AF$13,$B23,$B$6)</f>
        <v>0</v>
      </c>
      <c r="AG26" s="5">
        <f>DepCour(AG$9,$B$13:AG$13,$B23,$B$6)</f>
        <v>0</v>
      </c>
      <c r="AH26" s="5">
        <f>DepCour(AH$9,$B$13:AH$13,$B23,$B$6)</f>
        <v>0</v>
      </c>
      <c r="AI26" s="5">
        <f>DepCour(AI$9,$B$13:AI$13,$B23,$B$6)</f>
        <v>0</v>
      </c>
      <c r="AJ26" s="5">
        <f>DepCour(AJ$9,$B$13:AJ$13,$B23,$B$6)</f>
        <v>0</v>
      </c>
      <c r="AK26" s="5">
        <f>DepCour(AK$9,$B$13:AK$13,$B23,$B$6)</f>
        <v>0</v>
      </c>
      <c r="AL26" s="5">
        <f>DepCour(AL$9,$B$13:AL$13,$B23,$B$6)</f>
        <v>0</v>
      </c>
      <c r="AM26" s="5">
        <f>DepCour(AM$9,$B$13:AM$13,$B23,$B$6)</f>
        <v>0</v>
      </c>
      <c r="AN26" s="5">
        <f>DepCour(AN$9,$B$13:AN$13,$B23,$B$6)</f>
        <v>0</v>
      </c>
      <c r="AO26" s="5">
        <f>DepCour(AO$9,$B$13:AO$13,$B23,$B$6)</f>
        <v>0</v>
      </c>
    </row>
    <row r="27" spans="1:41" ht="11.25">
      <c r="A27" s="2" t="s">
        <v>3</v>
      </c>
      <c r="B27" s="6">
        <f aca="true" t="shared" si="7" ref="B27:AO27">($B$5*B24+B26)/(1+$B$5)</f>
        <v>134.19913419913414</v>
      </c>
      <c r="C27" s="6">
        <f t="shared" si="7"/>
        <v>132.01570052882008</v>
      </c>
      <c r="D27" s="6">
        <f t="shared" si="7"/>
        <v>129.68725409970128</v>
      </c>
      <c r="E27" s="6">
        <f t="shared" si="7"/>
        <v>127.2087854087822</v>
      </c>
      <c r="F27" s="6">
        <f t="shared" si="7"/>
        <v>124.57514088037478</v>
      </c>
      <c r="G27" s="6">
        <f t="shared" si="7"/>
        <v>121.78101907200367</v>
      </c>
      <c r="H27" s="6">
        <f t="shared" si="7"/>
        <v>118.82096678545642</v>
      </c>
      <c r="I27" s="6">
        <f t="shared" si="7"/>
        <v>115.68937508068603</v>
      </c>
      <c r="J27" s="6">
        <f t="shared" si="7"/>
        <v>112.38047519022113</v>
      </c>
      <c r="K27" s="6">
        <f t="shared" si="7"/>
        <v>108.88833433168185</v>
      </c>
      <c r="L27" s="6">
        <f t="shared" si="7"/>
        <v>105.20685141594697</v>
      </c>
      <c r="M27" s="6">
        <f t="shared" si="7"/>
        <v>101.32975264845273</v>
      </c>
      <c r="N27" s="6">
        <f t="shared" si="7"/>
        <v>97.25058702105423</v>
      </c>
      <c r="O27" s="6">
        <f t="shared" si="7"/>
        <v>92.96272169180921</v>
      </c>
      <c r="P27" s="6">
        <f t="shared" si="7"/>
        <v>88.45933724999146</v>
      </c>
      <c r="Q27" s="6">
        <f t="shared" si="7"/>
        <v>0</v>
      </c>
      <c r="R27" s="6">
        <f t="shared" si="7"/>
        <v>0</v>
      </c>
      <c r="S27" s="6">
        <f t="shared" si="7"/>
        <v>0</v>
      </c>
      <c r="T27" s="6">
        <f t="shared" si="7"/>
        <v>0</v>
      </c>
      <c r="U27" s="6">
        <f t="shared" si="7"/>
        <v>0</v>
      </c>
      <c r="V27" s="6">
        <f t="shared" si="7"/>
        <v>0</v>
      </c>
      <c r="W27" s="6">
        <f t="shared" si="7"/>
        <v>0</v>
      </c>
      <c r="X27" s="6">
        <f t="shared" si="7"/>
        <v>0</v>
      </c>
      <c r="Y27" s="6">
        <f t="shared" si="7"/>
        <v>0</v>
      </c>
      <c r="Z27" s="6">
        <f t="shared" si="7"/>
        <v>0</v>
      </c>
      <c r="AA27" s="6">
        <f t="shared" si="7"/>
        <v>0</v>
      </c>
      <c r="AB27" s="6">
        <f t="shared" si="7"/>
        <v>0</v>
      </c>
      <c r="AC27" s="6">
        <f t="shared" si="7"/>
        <v>0</v>
      </c>
      <c r="AD27" s="6">
        <f t="shared" si="7"/>
        <v>0</v>
      </c>
      <c r="AE27" s="6">
        <f t="shared" si="7"/>
        <v>0</v>
      </c>
      <c r="AF27" s="6">
        <f t="shared" si="7"/>
        <v>0</v>
      </c>
      <c r="AG27" s="6">
        <f t="shared" si="7"/>
        <v>0</v>
      </c>
      <c r="AH27" s="6">
        <f t="shared" si="7"/>
        <v>0</v>
      </c>
      <c r="AI27" s="6">
        <f t="shared" si="7"/>
        <v>0</v>
      </c>
      <c r="AJ27" s="6">
        <f t="shared" si="7"/>
        <v>0</v>
      </c>
      <c r="AK27" s="6">
        <f t="shared" si="7"/>
        <v>0</v>
      </c>
      <c r="AL27" s="6">
        <f t="shared" si="7"/>
        <v>0</v>
      </c>
      <c r="AM27" s="6">
        <f t="shared" si="7"/>
        <v>0</v>
      </c>
      <c r="AN27" s="6">
        <f t="shared" si="7"/>
        <v>0</v>
      </c>
      <c r="AO27" s="6">
        <f t="shared" si="7"/>
        <v>0</v>
      </c>
    </row>
    <row r="28" spans="1:41" ht="11.25">
      <c r="A28" s="12" t="s">
        <v>4</v>
      </c>
      <c r="B28" s="13">
        <f>B27</f>
        <v>134.19913419913414</v>
      </c>
      <c r="C28" s="14">
        <f aca="true" t="shared" si="8" ref="C28:AO28">B28+C27/(1+$B$5)^(C$9-1)</f>
        <v>254.21340740715237</v>
      </c>
      <c r="D28" s="14">
        <f t="shared" si="8"/>
        <v>361.3929562498807</v>
      </c>
      <c r="E28" s="14">
        <f t="shared" si="8"/>
        <v>456.9667995322114</v>
      </c>
      <c r="F28" s="14">
        <f t="shared" si="8"/>
        <v>542.0532969575066</v>
      </c>
      <c r="G28" s="14">
        <f t="shared" si="8"/>
        <v>617.6697284431873</v>
      </c>
      <c r="H28" s="14">
        <f t="shared" si="8"/>
        <v>684.7410665373632</v>
      </c>
      <c r="I28" s="14">
        <f t="shared" si="8"/>
        <v>744.1080085530544</v>
      </c>
      <c r="J28" s="14">
        <f t="shared" si="8"/>
        <v>796.5343296207694</v>
      </c>
      <c r="K28" s="14">
        <f t="shared" si="8"/>
        <v>842.7136128793826</v>
      </c>
      <c r="L28" s="14">
        <f t="shared" si="8"/>
        <v>883.2754084448108</v>
      </c>
      <c r="M28" s="14">
        <f t="shared" si="8"/>
        <v>918.7908685840519</v>
      </c>
      <c r="N28" s="14">
        <f t="shared" si="8"/>
        <v>949.7779026493826</v>
      </c>
      <c r="O28" s="14">
        <f t="shared" si="8"/>
        <v>976.7058917668747</v>
      </c>
      <c r="P28" s="14">
        <f t="shared" si="8"/>
        <v>999.9999999999995</v>
      </c>
      <c r="Q28" s="14">
        <f t="shared" si="8"/>
        <v>999.9999999999995</v>
      </c>
      <c r="R28" s="14">
        <f t="shared" si="8"/>
        <v>999.9999999999995</v>
      </c>
      <c r="S28" s="14">
        <f t="shared" si="8"/>
        <v>999.9999999999995</v>
      </c>
      <c r="T28" s="14">
        <f t="shared" si="8"/>
        <v>999.9999999999995</v>
      </c>
      <c r="U28" s="14">
        <f t="shared" si="8"/>
        <v>999.9999999999995</v>
      </c>
      <c r="V28" s="14">
        <f t="shared" si="8"/>
        <v>999.9999999999995</v>
      </c>
      <c r="W28" s="14">
        <f t="shared" si="8"/>
        <v>999.9999999999995</v>
      </c>
      <c r="X28" s="14">
        <f t="shared" si="8"/>
        <v>999.9999999999995</v>
      </c>
      <c r="Y28" s="14">
        <f t="shared" si="8"/>
        <v>999.9999999999995</v>
      </c>
      <c r="Z28" s="14">
        <f t="shared" si="8"/>
        <v>999.9999999999995</v>
      </c>
      <c r="AA28" s="14">
        <f t="shared" si="8"/>
        <v>999.9999999999995</v>
      </c>
      <c r="AB28" s="14">
        <f t="shared" si="8"/>
        <v>999.9999999999995</v>
      </c>
      <c r="AC28" s="14">
        <f t="shared" si="8"/>
        <v>999.9999999999995</v>
      </c>
      <c r="AD28" s="14">
        <f t="shared" si="8"/>
        <v>999.9999999999995</v>
      </c>
      <c r="AE28" s="14">
        <f t="shared" si="8"/>
        <v>999.9999999999995</v>
      </c>
      <c r="AF28" s="14">
        <f t="shared" si="8"/>
        <v>999.9999999999995</v>
      </c>
      <c r="AG28" s="14">
        <f t="shared" si="8"/>
        <v>999.9999999999995</v>
      </c>
      <c r="AH28" s="14">
        <f t="shared" si="8"/>
        <v>999.9999999999995</v>
      </c>
      <c r="AI28" s="14">
        <f t="shared" si="8"/>
        <v>999.9999999999995</v>
      </c>
      <c r="AJ28" s="14">
        <f t="shared" si="8"/>
        <v>999.9999999999995</v>
      </c>
      <c r="AK28" s="14">
        <f t="shared" si="8"/>
        <v>999.9999999999995</v>
      </c>
      <c r="AL28" s="14">
        <f t="shared" si="8"/>
        <v>999.9999999999995</v>
      </c>
      <c r="AM28" s="14">
        <f t="shared" si="8"/>
        <v>999.9999999999995</v>
      </c>
      <c r="AN28" s="14">
        <f t="shared" si="8"/>
        <v>999.9999999999995</v>
      </c>
      <c r="AO28" s="14">
        <f t="shared" si="8"/>
        <v>999.9999999999995</v>
      </c>
    </row>
    <row r="29" spans="3:41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3" ht="11.25">
      <c r="A30" s="1" t="s">
        <v>28</v>
      </c>
      <c r="B30" s="2">
        <f>B4</f>
        <v>20</v>
      </c>
      <c r="C30" s="2" t="s">
        <v>11</v>
      </c>
    </row>
    <row r="31" spans="1:41" ht="11.25">
      <c r="A31" s="2" t="s">
        <v>23</v>
      </c>
      <c r="B31" s="5">
        <f>Vcour(B$9,$B$13:B$13,$B30,$B$6)</f>
        <v>1000</v>
      </c>
      <c r="C31" s="5">
        <f>Vcour(C$9,$B$13:C$13,$B30,$B$6)</f>
        <v>969.3877551020407</v>
      </c>
      <c r="D31" s="5">
        <f>Vcour(D$9,$B$13:D$13,$B30,$B$6)</f>
        <v>937.1095376926281</v>
      </c>
      <c r="E31" s="5">
        <f>Vcour(E$9,$B$13:E$13,$B30,$B$6)</f>
        <v>903.1100986833718</v>
      </c>
      <c r="F31" s="5">
        <f>Vcour(F$9,$B$13:F$13,$B30,$B$6)</f>
        <v>867.3326277871519</v>
      </c>
      <c r="G31" s="5">
        <f>Vcour(G$9,$B$13:G$13,$B30,$B$6)</f>
        <v>829.7187128065865</v>
      </c>
      <c r="H31" s="5">
        <f>Vcour(H$9,$B$13:H$13,$B30,$B$6)</f>
        <v>790.2082979110347</v>
      </c>
      <c r="I31" s="5">
        <f>Vcour(I$9,$B$13:I$13,$B30,$B$6)</f>
        <v>748.7396408778027</v>
      </c>
      <c r="J31" s="5">
        <f>Vcour(J$9,$B$13:J$13,$B30,$B$6)</f>
        <v>705.2492692726556</v>
      </c>
      <c r="K31" s="5">
        <f>Vcour(K$9,$B$13:K$13,$B30,$B$6)</f>
        <v>659.6719355441506</v>
      </c>
      <c r="L31" s="5">
        <f>Vcour(L$9,$B$13:L$13,$B30,$B$6)</f>
        <v>611.9405710057057</v>
      </c>
      <c r="M31" s="5">
        <f>Vcour(M$9,$B$13:M$13,$B30,$B$6)</f>
        <v>561.9862386787092</v>
      </c>
      <c r="N31" s="5">
        <f>Vcour(N$9,$B$13:N$13,$B30,$B$6)</f>
        <v>509.7380849693508</v>
      </c>
      <c r="O31" s="5">
        <f>Vcour(O$9,$B$13:O$13,$B30,$B$6)</f>
        <v>455.1232901512061</v>
      </c>
      <c r="P31" s="5">
        <f>Vcour(P$9,$B$13:P$13,$B30,$B$6)</f>
        <v>398.0670176249616</v>
      </c>
      <c r="Q31" s="5">
        <f>Vcour(Q$9,$B$13:Q$13,$B30,$B$6)</f>
        <v>338.4923619259877</v>
      </c>
      <c r="R31" s="5">
        <f>Vcour(R$9,$B$13:R$13,$B30,$B$6)</f>
        <v>276.32029544978593</v>
      </c>
      <c r="S31" s="5">
        <f>Vcour(S$9,$B$13:S$13,$B30,$B$6)</f>
        <v>211.4696138646321</v>
      </c>
      <c r="T31" s="5">
        <f>Vcour(T$9,$B$13:T$13,$B30,$B$6)</f>
        <v>143.85688018002185</v>
      </c>
      <c r="U31" s="19">
        <f>Vcour(U$9,$B$13:U$13,$B30,$B$6)</f>
        <v>73.39636743878667</v>
      </c>
      <c r="V31" s="5">
        <f>Vcour(V$9,$B$13:V$13,$B30,$B$6)</f>
        <v>0</v>
      </c>
      <c r="W31" s="5">
        <f>Vcour(W$9,$B$13:W$13,$B30,$B$6)</f>
        <v>0</v>
      </c>
      <c r="X31" s="5">
        <f>Vcour(X$9,$B$13:X$13,$B30,$B$6)</f>
        <v>0</v>
      </c>
      <c r="Y31" s="5">
        <f>Vcour(Y$9,$B$13:Y$13,$B30,$B$6)</f>
        <v>0</v>
      </c>
      <c r="Z31" s="5">
        <f>Vcour(Z$9,$B$13:Z$13,$B30,$B$6)</f>
        <v>0</v>
      </c>
      <c r="AA31" s="5">
        <f>Vcour(AA$9,$B$13:AA$13,$B30,$B$6)</f>
        <v>0</v>
      </c>
      <c r="AB31" s="5">
        <f>Vcour(AB$9,$B$13:AB$13,$B30,$B$6)</f>
        <v>0</v>
      </c>
      <c r="AC31" s="5">
        <f>Vcour(AC$9,$B$13:AC$13,$B30,$B$6)</f>
        <v>0</v>
      </c>
      <c r="AD31" s="5">
        <f>Vcour(AD$9,$B$13:AD$13,$B30,$B$6)</f>
        <v>0</v>
      </c>
      <c r="AE31" s="5">
        <f>Vcour(AE$9,$B$13:AE$13,$B30,$B$6)</f>
        <v>0</v>
      </c>
      <c r="AF31" s="5">
        <f>Vcour(AF$9,$B$13:AF$13,$B30,$B$6)</f>
        <v>0</v>
      </c>
      <c r="AG31" s="5">
        <f>Vcour(AG$9,$B$13:AG$13,$B30,$B$6)</f>
        <v>0</v>
      </c>
      <c r="AH31" s="5">
        <f>Vcour(AH$9,$B$13:AH$13,$B30,$B$6)</f>
        <v>0</v>
      </c>
      <c r="AI31" s="5">
        <f>Vcour(AI$9,$B$13:AI$13,$B30,$B$6)</f>
        <v>0</v>
      </c>
      <c r="AJ31" s="5">
        <f>Vcour(AJ$9,$B$13:AJ$13,$B30,$B$6)</f>
        <v>0</v>
      </c>
      <c r="AK31" s="5">
        <f>Vcour(AK$9,$B$13:AK$13,$B30,$B$6)</f>
        <v>0</v>
      </c>
      <c r="AL31" s="5">
        <f>Vcour(AL$9,$B$13:AL$13,$B30,$B$6)</f>
        <v>0</v>
      </c>
      <c r="AM31" s="5">
        <f>Vcour(AM$9,$B$13:AM$13,$B30,$B$6)</f>
        <v>0</v>
      </c>
      <c r="AN31" s="5">
        <f>Vcour(AN$9,$B$13:AN$13,$B30,$B$6)</f>
        <v>0</v>
      </c>
      <c r="AO31" s="5">
        <f>Vcour(AO$9,$B$13:AO$13,$B30,$B$6)</f>
        <v>0</v>
      </c>
    </row>
    <row r="32" spans="1:41" ht="11.25">
      <c r="A32" s="2" t="s">
        <v>24</v>
      </c>
      <c r="B32" s="5">
        <f aca="true" t="shared" si="9" ref="B32:AO32">B31-B33</f>
        <v>969.3877551020407</v>
      </c>
      <c r="C32" s="5">
        <f t="shared" si="9"/>
        <v>937.1095376926281</v>
      </c>
      <c r="D32" s="5">
        <f t="shared" si="9"/>
        <v>903.1100986833717</v>
      </c>
      <c r="E32" s="5">
        <f t="shared" si="9"/>
        <v>867.3326277871519</v>
      </c>
      <c r="F32" s="5">
        <f t="shared" si="9"/>
        <v>829.7187128065865</v>
      </c>
      <c r="G32" s="5">
        <f t="shared" si="9"/>
        <v>790.2082979110347</v>
      </c>
      <c r="H32" s="5">
        <f t="shared" si="9"/>
        <v>748.7396408778026</v>
      </c>
      <c r="I32" s="5">
        <f t="shared" si="9"/>
        <v>705.2492692726556</v>
      </c>
      <c r="J32" s="5">
        <f t="shared" si="9"/>
        <v>659.6719355441506</v>
      </c>
      <c r="K32" s="5">
        <f t="shared" si="9"/>
        <v>611.9405710057057</v>
      </c>
      <c r="L32" s="5">
        <f t="shared" si="9"/>
        <v>561.9862386787092</v>
      </c>
      <c r="M32" s="5">
        <f t="shared" si="9"/>
        <v>509.73808496935084</v>
      </c>
      <c r="N32" s="5">
        <f t="shared" si="9"/>
        <v>455.1232901512061</v>
      </c>
      <c r="O32" s="5">
        <f t="shared" si="9"/>
        <v>398.0670176249616</v>
      </c>
      <c r="P32" s="5">
        <f t="shared" si="9"/>
        <v>338.4923619259877</v>
      </c>
      <c r="Q32" s="5">
        <f t="shared" si="9"/>
        <v>276.3202954497859</v>
      </c>
      <c r="R32" s="5">
        <f t="shared" si="9"/>
        <v>211.4696138646321</v>
      </c>
      <c r="S32" s="5">
        <f t="shared" si="9"/>
        <v>143.85688018002185</v>
      </c>
      <c r="T32" s="5">
        <f t="shared" si="9"/>
        <v>73.39636743878665</v>
      </c>
      <c r="U32" s="5">
        <f t="shared" si="9"/>
        <v>0</v>
      </c>
      <c r="V32" s="5">
        <f t="shared" si="9"/>
        <v>0</v>
      </c>
      <c r="W32" s="5">
        <f t="shared" si="9"/>
        <v>0</v>
      </c>
      <c r="X32" s="5">
        <f t="shared" si="9"/>
        <v>0</v>
      </c>
      <c r="Y32" s="5">
        <f t="shared" si="9"/>
        <v>0</v>
      </c>
      <c r="Z32" s="5">
        <f t="shared" si="9"/>
        <v>0</v>
      </c>
      <c r="AA32" s="5">
        <f t="shared" si="9"/>
        <v>0</v>
      </c>
      <c r="AB32" s="5">
        <f t="shared" si="9"/>
        <v>0</v>
      </c>
      <c r="AC32" s="5">
        <f t="shared" si="9"/>
        <v>0</v>
      </c>
      <c r="AD32" s="5">
        <f t="shared" si="9"/>
        <v>0</v>
      </c>
      <c r="AE32" s="5">
        <f t="shared" si="9"/>
        <v>0</v>
      </c>
      <c r="AF32" s="5">
        <f t="shared" si="9"/>
        <v>0</v>
      </c>
      <c r="AG32" s="5">
        <f t="shared" si="9"/>
        <v>0</v>
      </c>
      <c r="AH32" s="5">
        <f t="shared" si="9"/>
        <v>0</v>
      </c>
      <c r="AI32" s="5">
        <f t="shared" si="9"/>
        <v>0</v>
      </c>
      <c r="AJ32" s="5">
        <f t="shared" si="9"/>
        <v>0</v>
      </c>
      <c r="AK32" s="5">
        <f t="shared" si="9"/>
        <v>0</v>
      </c>
      <c r="AL32" s="5">
        <f t="shared" si="9"/>
        <v>0</v>
      </c>
      <c r="AM32" s="5">
        <f t="shared" si="9"/>
        <v>0</v>
      </c>
      <c r="AN32" s="5">
        <f t="shared" si="9"/>
        <v>0</v>
      </c>
      <c r="AO32" s="5">
        <f t="shared" si="9"/>
        <v>0</v>
      </c>
    </row>
    <row r="33" spans="1:41" ht="11.25">
      <c r="A33" s="2" t="s">
        <v>2</v>
      </c>
      <c r="B33" s="5">
        <f>DepCour(B$9,$B$13:B$13,$B30,$B$6)</f>
        <v>30.61224489795922</v>
      </c>
      <c r="C33" s="5">
        <f>DepCour(C$9,$B$13:C$13,$B30,$B$6)</f>
        <v>32.27821740941261</v>
      </c>
      <c r="D33" s="5">
        <f>DepCour(D$9,$B$13:D$13,$B30,$B$6)</f>
        <v>33.99943900925639</v>
      </c>
      <c r="E33" s="5">
        <f>DepCour(E$9,$B$13:E$13,$B30,$B$6)</f>
        <v>35.77747089621997</v>
      </c>
      <c r="F33" s="5">
        <f>DepCour(F$9,$B$13:F$13,$B30,$B$6)</f>
        <v>37.61391498056532</v>
      </c>
      <c r="G33" s="5">
        <f>DepCour(G$9,$B$13:G$13,$B30,$B$6)</f>
        <v>39.51041489555174</v>
      </c>
      <c r="H33" s="5">
        <f>DepCour(H$9,$B$13:H$13,$B30,$B$6)</f>
        <v>41.468657033232105</v>
      </c>
      <c r="I33" s="5">
        <f>DepCour(I$9,$B$13:I$13,$B30,$B$6)</f>
        <v>43.49037160514702</v>
      </c>
      <c r="J33" s="5">
        <f>DepCour(J$9,$B$13:J$13,$B30,$B$6)</f>
        <v>45.57733372850503</v>
      </c>
      <c r="K33" s="5">
        <f>DepCour(K$9,$B$13:K$13,$B30,$B$6)</f>
        <v>47.73136453844495</v>
      </c>
      <c r="L33" s="5">
        <f>DepCour(L$9,$B$13:L$13,$B30,$B$6)</f>
        <v>49.95433232699642</v>
      </c>
      <c r="M33" s="5">
        <f>DepCour(M$9,$B$13:M$13,$B30,$B$6)</f>
        <v>52.24815370935843</v>
      </c>
      <c r="N33" s="5">
        <f>DepCour(N$9,$B$13:N$13,$B30,$B$6)</f>
        <v>54.61479481814469</v>
      </c>
      <c r="O33" s="5">
        <f>DepCour(O$9,$B$13:O$13,$B30,$B$6)</f>
        <v>57.05627252624451</v>
      </c>
      <c r="P33" s="5">
        <f>DepCour(P$9,$B$13:P$13,$B30,$B$6)</f>
        <v>59.57465569897386</v>
      </c>
      <c r="Q33" s="5">
        <f>DepCour(Q$9,$B$13:Q$13,$B30,$B$6)</f>
        <v>62.17206647620183</v>
      </c>
      <c r="R33" s="5">
        <f>DepCour(R$9,$B$13:R$13,$B30,$B$6)</f>
        <v>64.85068158515384</v>
      </c>
      <c r="S33" s="5">
        <f>DepCour(S$9,$B$13:S$13,$B30,$B$6)</f>
        <v>67.61273368461023</v>
      </c>
      <c r="T33" s="5">
        <f>DepCour(T$9,$B$13:T$13,$B30,$B$6)</f>
        <v>70.46051274123519</v>
      </c>
      <c r="U33" s="5">
        <f>DepCour(U$9,$B$13:U$13,$B30,$B$6)</f>
        <v>73.39636743878667</v>
      </c>
      <c r="V33" s="5">
        <f>DepCour(V$9,$B$13:V$13,$B30,$B$6)</f>
        <v>0</v>
      </c>
      <c r="W33" s="5">
        <f>DepCour(W$9,$B$13:W$13,$B30,$B$6)</f>
        <v>0</v>
      </c>
      <c r="X33" s="5">
        <f>DepCour(X$9,$B$13:X$13,$B30,$B$6)</f>
        <v>0</v>
      </c>
      <c r="Y33" s="5">
        <f>DepCour(Y$9,$B$13:Y$13,$B30,$B$6)</f>
        <v>0</v>
      </c>
      <c r="Z33" s="5">
        <f>DepCour(Z$9,$B$13:Z$13,$B30,$B$6)</f>
        <v>0</v>
      </c>
      <c r="AA33" s="5">
        <f>DepCour(AA$9,$B$13:AA$13,$B30,$B$6)</f>
        <v>0</v>
      </c>
      <c r="AB33" s="5">
        <f>DepCour(AB$9,$B$13:AB$13,$B30,$B$6)</f>
        <v>0</v>
      </c>
      <c r="AC33" s="5">
        <f>DepCour(AC$9,$B$13:AC$13,$B30,$B$6)</f>
        <v>0</v>
      </c>
      <c r="AD33" s="5">
        <f>DepCour(AD$9,$B$13:AD$13,$B30,$B$6)</f>
        <v>0</v>
      </c>
      <c r="AE33" s="5">
        <f>DepCour(AE$9,$B$13:AE$13,$B30,$B$6)</f>
        <v>0</v>
      </c>
      <c r="AF33" s="5">
        <f>DepCour(AF$9,$B$13:AF$13,$B30,$B$6)</f>
        <v>0</v>
      </c>
      <c r="AG33" s="5">
        <f>DepCour(AG$9,$B$13:AG$13,$B30,$B$6)</f>
        <v>0</v>
      </c>
      <c r="AH33" s="5">
        <f>DepCour(AH$9,$B$13:AH$13,$B30,$B$6)</f>
        <v>0</v>
      </c>
      <c r="AI33" s="5">
        <f>DepCour(AI$9,$B$13:AI$13,$B30,$B$6)</f>
        <v>0</v>
      </c>
      <c r="AJ33" s="5">
        <f>DepCour(AJ$9,$B$13:AJ$13,$B30,$B$6)</f>
        <v>0</v>
      </c>
      <c r="AK33" s="5">
        <f>DepCour(AK$9,$B$13:AK$13,$B30,$B$6)</f>
        <v>0</v>
      </c>
      <c r="AL33" s="5">
        <f>DepCour(AL$9,$B$13:AL$13,$B30,$B$6)</f>
        <v>0</v>
      </c>
      <c r="AM33" s="5">
        <f>DepCour(AM$9,$B$13:AM$13,$B30,$B$6)</f>
        <v>0</v>
      </c>
      <c r="AN33" s="5">
        <f>DepCour(AN$9,$B$13:AN$13,$B30,$B$6)</f>
        <v>0</v>
      </c>
      <c r="AO33" s="5">
        <f>DepCour(AO$9,$B$13:AO$13,$B30,$B$6)</f>
        <v>0</v>
      </c>
    </row>
    <row r="34" spans="1:41" ht="11.25">
      <c r="A34" s="2" t="s">
        <v>25</v>
      </c>
      <c r="B34" s="6">
        <f aca="true" t="shared" si="10" ref="B34:AO34">($B$5*B31+B33)/(1+$B$5)</f>
        <v>118.73840445269019</v>
      </c>
      <c r="C34" s="6">
        <f t="shared" si="10"/>
        <v>117.4699935632879</v>
      </c>
      <c r="D34" s="6">
        <f t="shared" si="10"/>
        <v>116.10035707138108</v>
      </c>
      <c r="E34" s="6">
        <f t="shared" si="10"/>
        <v>114.62589160414285</v>
      </c>
      <c r="F34" s="6">
        <f t="shared" si="10"/>
        <v>113.04288887207318</v>
      </c>
      <c r="G34" s="6">
        <f t="shared" si="10"/>
        <v>111.347532887464</v>
      </c>
      <c r="H34" s="6">
        <f t="shared" si="10"/>
        <v>109.53589711303235</v>
      </c>
      <c r="I34" s="6">
        <f t="shared" si="10"/>
        <v>107.60394153902479</v>
      </c>
      <c r="J34" s="6">
        <f t="shared" si="10"/>
        <v>105.54750968706418</v>
      </c>
      <c r="K34" s="6">
        <f t="shared" si="10"/>
        <v>103.36232553896365</v>
      </c>
      <c r="L34" s="6">
        <f t="shared" si="10"/>
        <v>101.04399038869727</v>
      </c>
      <c r="M34" s="6">
        <f t="shared" si="10"/>
        <v>98.58797961566304</v>
      </c>
      <c r="N34" s="6">
        <f t="shared" si="10"/>
        <v>95.98963937734523</v>
      </c>
      <c r="O34" s="6">
        <f t="shared" si="10"/>
        <v>93.24418321942284</v>
      </c>
      <c r="P34" s="6">
        <f t="shared" si="10"/>
        <v>90.34668860133637</v>
      </c>
      <c r="Q34" s="6">
        <f t="shared" si="10"/>
        <v>87.29209333527326</v>
      </c>
      <c r="R34" s="6">
        <f t="shared" si="10"/>
        <v>84.07519193648402</v>
      </c>
      <c r="S34" s="6">
        <f t="shared" si="10"/>
        <v>80.69063188279404</v>
      </c>
      <c r="T34" s="6">
        <f t="shared" si="10"/>
        <v>77.13290978112488</v>
      </c>
      <c r="U34" s="6">
        <f t="shared" si="10"/>
        <v>73.39636743878667</v>
      </c>
      <c r="V34" s="6">
        <f t="shared" si="10"/>
        <v>0</v>
      </c>
      <c r="W34" s="6">
        <f t="shared" si="10"/>
        <v>0</v>
      </c>
      <c r="X34" s="6">
        <f t="shared" si="10"/>
        <v>0</v>
      </c>
      <c r="Y34" s="6">
        <f t="shared" si="10"/>
        <v>0</v>
      </c>
      <c r="Z34" s="6">
        <f t="shared" si="10"/>
        <v>0</v>
      </c>
      <c r="AA34" s="6">
        <f t="shared" si="10"/>
        <v>0</v>
      </c>
      <c r="AB34" s="6">
        <f t="shared" si="10"/>
        <v>0</v>
      </c>
      <c r="AC34" s="6">
        <f t="shared" si="10"/>
        <v>0</v>
      </c>
      <c r="AD34" s="6">
        <f t="shared" si="10"/>
        <v>0</v>
      </c>
      <c r="AE34" s="6">
        <f t="shared" si="10"/>
        <v>0</v>
      </c>
      <c r="AF34" s="6">
        <f t="shared" si="10"/>
        <v>0</v>
      </c>
      <c r="AG34" s="6">
        <f t="shared" si="10"/>
        <v>0</v>
      </c>
      <c r="AH34" s="6">
        <f t="shared" si="10"/>
        <v>0</v>
      </c>
      <c r="AI34" s="6">
        <f t="shared" si="10"/>
        <v>0</v>
      </c>
      <c r="AJ34" s="6">
        <f t="shared" si="10"/>
        <v>0</v>
      </c>
      <c r="AK34" s="6">
        <f t="shared" si="10"/>
        <v>0</v>
      </c>
      <c r="AL34" s="6">
        <f t="shared" si="10"/>
        <v>0</v>
      </c>
      <c r="AM34" s="6">
        <f t="shared" si="10"/>
        <v>0</v>
      </c>
      <c r="AN34" s="6">
        <f t="shared" si="10"/>
        <v>0</v>
      </c>
      <c r="AO34" s="6">
        <f t="shared" si="10"/>
        <v>0</v>
      </c>
    </row>
    <row r="35" spans="1:41" ht="11.25">
      <c r="A35" s="12" t="s">
        <v>26</v>
      </c>
      <c r="B35" s="13">
        <f>B34</f>
        <v>118.73840445269019</v>
      </c>
      <c r="C35" s="14">
        <f aca="true" t="shared" si="11" ref="C35:AO35">B35+C34/(1+$B$5)^(C$9-1)</f>
        <v>225.52930769204283</v>
      </c>
      <c r="D35" s="14">
        <f t="shared" si="11"/>
        <v>321.4800160154983</v>
      </c>
      <c r="E35" s="14">
        <f t="shared" si="11"/>
        <v>407.6001449442307</v>
      </c>
      <c r="F35" s="14">
        <f t="shared" si="11"/>
        <v>484.80995907719506</v>
      </c>
      <c r="G35" s="14">
        <f t="shared" si="11"/>
        <v>553.948016517052</v>
      </c>
      <c r="H35" s="14">
        <f t="shared" si="11"/>
        <v>615.7781748424115</v>
      </c>
      <c r="I35" s="14">
        <f t="shared" si="11"/>
        <v>670.9960109967844</v>
      </c>
      <c r="J35" s="14">
        <f t="shared" si="11"/>
        <v>720.2347032285581</v>
      </c>
      <c r="K35" s="14">
        <f t="shared" si="11"/>
        <v>764.0704193190741</v>
      </c>
      <c r="L35" s="14">
        <f t="shared" si="11"/>
        <v>803.0272517506183</v>
      </c>
      <c r="M35" s="14">
        <f t="shared" si="11"/>
        <v>837.581737168104</v>
      </c>
      <c r="N35" s="14">
        <f t="shared" si="11"/>
        <v>868.1669944546298</v>
      </c>
      <c r="O35" s="14">
        <f t="shared" si="11"/>
        <v>895.176512950938</v>
      </c>
      <c r="P35" s="14">
        <f t="shared" si="11"/>
        <v>918.9676197827287</v>
      </c>
      <c r="Q35" s="14">
        <f t="shared" si="11"/>
        <v>939.864652899984</v>
      </c>
      <c r="R35" s="14">
        <f t="shared" si="11"/>
        <v>958.1618642625118</v>
      </c>
      <c r="S35" s="14">
        <f t="shared" si="11"/>
        <v>974.1260756107059</v>
      </c>
      <c r="T35" s="14">
        <f t="shared" si="11"/>
        <v>987.9991074261156</v>
      </c>
      <c r="U35" s="14">
        <f t="shared" si="11"/>
        <v>999.9999999999994</v>
      </c>
      <c r="V35" s="14">
        <f t="shared" si="11"/>
        <v>999.9999999999994</v>
      </c>
      <c r="W35" s="14">
        <f t="shared" si="11"/>
        <v>999.9999999999994</v>
      </c>
      <c r="X35" s="14">
        <f t="shared" si="11"/>
        <v>999.9999999999994</v>
      </c>
      <c r="Y35" s="14">
        <f t="shared" si="11"/>
        <v>999.9999999999994</v>
      </c>
      <c r="Z35" s="14">
        <f t="shared" si="11"/>
        <v>999.9999999999994</v>
      </c>
      <c r="AA35" s="14">
        <f t="shared" si="11"/>
        <v>999.9999999999994</v>
      </c>
      <c r="AB35" s="14">
        <f t="shared" si="11"/>
        <v>999.9999999999994</v>
      </c>
      <c r="AC35" s="14">
        <f t="shared" si="11"/>
        <v>999.9999999999994</v>
      </c>
      <c r="AD35" s="14">
        <f t="shared" si="11"/>
        <v>999.9999999999994</v>
      </c>
      <c r="AE35" s="14">
        <f t="shared" si="11"/>
        <v>999.9999999999994</v>
      </c>
      <c r="AF35" s="14">
        <f t="shared" si="11"/>
        <v>999.9999999999994</v>
      </c>
      <c r="AG35" s="14">
        <f t="shared" si="11"/>
        <v>999.9999999999994</v>
      </c>
      <c r="AH35" s="14">
        <f t="shared" si="11"/>
        <v>999.9999999999994</v>
      </c>
      <c r="AI35" s="14">
        <f t="shared" si="11"/>
        <v>999.9999999999994</v>
      </c>
      <c r="AJ35" s="14">
        <f t="shared" si="11"/>
        <v>999.9999999999994</v>
      </c>
      <c r="AK35" s="14">
        <f t="shared" si="11"/>
        <v>999.9999999999994</v>
      </c>
      <c r="AL35" s="14">
        <f t="shared" si="11"/>
        <v>999.9999999999994</v>
      </c>
      <c r="AM35" s="14">
        <f t="shared" si="11"/>
        <v>999.9999999999994</v>
      </c>
      <c r="AN35" s="14">
        <f t="shared" si="11"/>
        <v>999.9999999999994</v>
      </c>
      <c r="AO35" s="14">
        <f t="shared" si="11"/>
        <v>999.9999999999994</v>
      </c>
    </row>
    <row r="37" spans="1:3" ht="11.25">
      <c r="A37" s="1" t="s">
        <v>36</v>
      </c>
      <c r="B37" s="2">
        <v>20</v>
      </c>
      <c r="C37" s="2" t="s">
        <v>11</v>
      </c>
    </row>
    <row r="38" spans="1:41" ht="11.25">
      <c r="A38" s="2" t="s">
        <v>23</v>
      </c>
      <c r="B38" s="5">
        <f>vREMP(B$9,$B$13:B$13,$B37,$B$6,$B$5)</f>
        <v>1000</v>
      </c>
      <c r="C38" s="5">
        <f>vREMP(C$9,$B$13:C$13,$B37,$B$6,$B$5)</f>
        <v>997.6111840194956</v>
      </c>
      <c r="D38" s="5">
        <f>vREMP(D$9,$B$13:D$13,$B37,$B$6,$B$5)</f>
        <v>992.8939187678692</v>
      </c>
      <c r="E38" s="5">
        <f>vREMP(E$9,$B$13:E$13,$B37,$B$6,$B$5)</f>
        <v>985.5727150797826</v>
      </c>
      <c r="F38" s="5">
        <f>vREMP(F$9,$B$13:F$13,$B37,$B$6,$B$5)</f>
        <v>975.3436645827879</v>
      </c>
      <c r="G38" s="5">
        <f>vREMP(G$9,$B$13:G$13,$B37,$B$6,$B$5)</f>
        <v>961.8715800155842</v>
      </c>
      <c r="H38" s="5">
        <f>vREMP(H$9,$B$13:H$13,$B37,$B$6,$B$5)</f>
        <v>944.7868492156297</v>
      </c>
      <c r="I38" s="5">
        <f>vREMP(I$9,$B$13:I$13,$B37,$B$6,$B$5)</f>
        <v>923.6819741356489</v>
      </c>
      <c r="J38" s="5">
        <f>vREMP(J$9,$B$13:J$13,$B37,$B$6,$B$5)</f>
        <v>898.1077633843732</v>
      </c>
      <c r="K38" s="5">
        <f>vREMP(K$9,$B$13:K$13,$B37,$B$6,$B$5)</f>
        <v>867.5691436362386</v>
      </c>
      <c r="L38" s="5">
        <f>vREMP(L$9,$B$13:L$13,$B37,$B$6,$B$5)</f>
        <v>831.520551789075</v>
      </c>
      <c r="M38" s="5">
        <f>vREMP(M$9,$B$13:M$13,$B37,$B$6,$B$5)</f>
        <v>789.3608659365661</v>
      </c>
      <c r="N38" s="5">
        <f>vREMP(N$9,$B$13:N$13,$B37,$B$6,$B$5)</f>
        <v>740.4278290287779</v>
      </c>
      <c r="O38" s="5">
        <f>vREMP(O$9,$B$13:O$13,$B37,$B$6,$B$5)</f>
        <v>683.9919144812018</v>
      </c>
      <c r="P38" s="5">
        <f>vREMP(P$9,$B$13:P$13,$B37,$B$6,$B$5)</f>
        <v>619.2495779186543</v>
      </c>
      <c r="Q38" s="5">
        <f>vREMP(Q$9,$B$13:Q$13,$B37,$B$6,$B$5)</f>
        <v>545.3158336588183</v>
      </c>
      <c r="R38" s="5">
        <f>vREMP(R$9,$B$13:R$13,$B37,$B$6,$B$5)</f>
        <v>461.216088400515</v>
      </c>
      <c r="S38" s="5">
        <f>vREMP(S$9,$B$13:S$13,$B37,$B$6,$B$5)</f>
        <v>365.87715782813257</v>
      </c>
      <c r="T38" s="5">
        <f>vREMP(T$9,$B$13:T$13,$B37,$B$6,$B$5)</f>
        <v>258.1173844145848</v>
      </c>
      <c r="U38" s="19">
        <f>vREMP(U$9,$B$13:U$13,$B37,$B$6,$B$5)</f>
        <v>136.63576653322588</v>
      </c>
      <c r="V38" s="5">
        <f>vREMP(V$9,$B$13:V$13,$B37,$B$6,$B$5)</f>
        <v>0</v>
      </c>
      <c r="W38" s="5">
        <f>vREMP(W$9,$B$13:W$13,$B37,$B$6,$B$5)</f>
        <v>0</v>
      </c>
      <c r="X38" s="5">
        <f>vREMP(X$9,$B$13:X$13,$B37,$B$6,$B$5)</f>
        <v>0</v>
      </c>
      <c r="Y38" s="5">
        <f>vREMP(Y$9,$B$13:Y$13,$B37,$B$6,$B$5)</f>
        <v>0</v>
      </c>
      <c r="Z38" s="5">
        <f>vREMP(Z$9,$B$13:Z$13,$B37,$B$6,$B$5)</f>
        <v>0</v>
      </c>
      <c r="AA38" s="5">
        <f>vREMP(AA$9,$B$13:AA$13,$B37,$B$6,$B$5)</f>
        <v>0</v>
      </c>
      <c r="AB38" s="5">
        <f>vREMP(AB$9,$B$13:AB$13,$B37,$B$6,$B$5)</f>
        <v>0</v>
      </c>
      <c r="AC38" s="5">
        <f>vREMP(AC$9,$B$13:AC$13,$B37,$B$6,$B$5)</f>
        <v>0</v>
      </c>
      <c r="AD38" s="5">
        <f>vREMP(AD$9,$B$13:AD$13,$B37,$B$6,$B$5)</f>
        <v>0</v>
      </c>
      <c r="AE38" s="5">
        <f>vREMP(AE$9,$B$13:AE$13,$B37,$B$6,$B$5)</f>
        <v>0</v>
      </c>
      <c r="AF38" s="5">
        <f>vREMP(AF$9,$B$13:AF$13,$B37,$B$6,$B$5)</f>
        <v>0</v>
      </c>
      <c r="AG38" s="5">
        <f>vREMP(AG$9,$B$13:AG$13,$B37,$B$6,$B$5)</f>
        <v>0</v>
      </c>
      <c r="AH38" s="5">
        <f>vREMP(AH$9,$B$13:AH$13,$B37,$B$6,$B$5)</f>
        <v>0</v>
      </c>
      <c r="AI38" s="5">
        <f>vREMP(AI$9,$B$13:AI$13,$B37,$B$6,$B$5)</f>
        <v>0</v>
      </c>
      <c r="AJ38" s="5">
        <f>vREMP(AJ$9,$B$13:AJ$13,$B37,$B$6,$B$5)</f>
        <v>0</v>
      </c>
      <c r="AK38" s="5">
        <f>vREMP(AK$9,$B$13:AK$13,$B37,$B$6,$B$5)</f>
        <v>0</v>
      </c>
      <c r="AL38" s="5">
        <f>vREMP(AL$9,$B$13:AL$13,$B37,$B$6,$B$5)</f>
        <v>0</v>
      </c>
      <c r="AM38" s="5">
        <f>vREMP(AM$9,$B$13:AM$13,$B37,$B$6,$B$5)</f>
        <v>0</v>
      </c>
      <c r="AN38" s="5">
        <f>vREMP(AN$9,$B$13:AN$13,$B37,$B$6,$B$5)</f>
        <v>0</v>
      </c>
      <c r="AO38" s="5">
        <f>vREMP(AO$9,$B$13:AO$13,$B37,$B$6,$B$5)</f>
        <v>0</v>
      </c>
    </row>
    <row r="39" spans="1:41" ht="11.25">
      <c r="A39" s="2" t="s">
        <v>24</v>
      </c>
      <c r="B39" s="5">
        <f aca="true" t="shared" si="12" ref="B39:AO39">B38-B40</f>
        <v>997.6111840194956</v>
      </c>
      <c r="C39" s="5">
        <f t="shared" si="12"/>
        <v>992.8939187678692</v>
      </c>
      <c r="D39" s="5">
        <f t="shared" si="12"/>
        <v>985.5727150797827</v>
      </c>
      <c r="E39" s="5">
        <f t="shared" si="12"/>
        <v>975.3436645827879</v>
      </c>
      <c r="F39" s="5">
        <f t="shared" si="12"/>
        <v>961.8715800155841</v>
      </c>
      <c r="G39" s="5">
        <f t="shared" si="12"/>
        <v>944.7868492156298</v>
      </c>
      <c r="H39" s="5">
        <f t="shared" si="12"/>
        <v>923.6819741356488</v>
      </c>
      <c r="I39" s="5">
        <f t="shared" si="12"/>
        <v>898.1077633843734</v>
      </c>
      <c r="J39" s="5">
        <f t="shared" si="12"/>
        <v>867.5691436362386</v>
      </c>
      <c r="K39" s="5">
        <f t="shared" si="12"/>
        <v>831.5205517890748</v>
      </c>
      <c r="L39" s="5">
        <f t="shared" si="12"/>
        <v>789.3608659365663</v>
      </c>
      <c r="M39" s="5">
        <f t="shared" si="12"/>
        <v>740.4278290287779</v>
      </c>
      <c r="N39" s="5">
        <f t="shared" si="12"/>
        <v>683.9919144812018</v>
      </c>
      <c r="O39" s="5">
        <f t="shared" si="12"/>
        <v>619.2495779186543</v>
      </c>
      <c r="P39" s="5">
        <f t="shared" si="12"/>
        <v>545.3158336588183</v>
      </c>
      <c r="Q39" s="5">
        <f t="shared" si="12"/>
        <v>461.216088400515</v>
      </c>
      <c r="R39" s="5">
        <f t="shared" si="12"/>
        <v>365.87715782813257</v>
      </c>
      <c r="S39" s="5">
        <f t="shared" si="12"/>
        <v>258.1173844145848</v>
      </c>
      <c r="T39" s="5">
        <f t="shared" si="12"/>
        <v>136.63576653322588</v>
      </c>
      <c r="U39" s="5">
        <f t="shared" si="12"/>
        <v>0</v>
      </c>
      <c r="V39" s="5">
        <f t="shared" si="12"/>
        <v>0</v>
      </c>
      <c r="W39" s="5">
        <f t="shared" si="12"/>
        <v>0</v>
      </c>
      <c r="X39" s="5">
        <f t="shared" si="12"/>
        <v>0</v>
      </c>
      <c r="Y39" s="5">
        <f t="shared" si="12"/>
        <v>0</v>
      </c>
      <c r="Z39" s="5">
        <f t="shared" si="12"/>
        <v>0</v>
      </c>
      <c r="AA39" s="5">
        <f t="shared" si="12"/>
        <v>0</v>
      </c>
      <c r="AB39" s="5">
        <f t="shared" si="12"/>
        <v>0</v>
      </c>
      <c r="AC39" s="5">
        <f t="shared" si="12"/>
        <v>0</v>
      </c>
      <c r="AD39" s="5">
        <f t="shared" si="12"/>
        <v>0</v>
      </c>
      <c r="AE39" s="5">
        <f t="shared" si="12"/>
        <v>0</v>
      </c>
      <c r="AF39" s="5">
        <f t="shared" si="12"/>
        <v>0</v>
      </c>
      <c r="AG39" s="5">
        <f t="shared" si="12"/>
        <v>0</v>
      </c>
      <c r="AH39" s="5">
        <f t="shared" si="12"/>
        <v>0</v>
      </c>
      <c r="AI39" s="5">
        <f t="shared" si="12"/>
        <v>0</v>
      </c>
      <c r="AJ39" s="5">
        <f t="shared" si="12"/>
        <v>0</v>
      </c>
      <c r="AK39" s="5">
        <f t="shared" si="12"/>
        <v>0</v>
      </c>
      <c r="AL39" s="5">
        <f t="shared" si="12"/>
        <v>0</v>
      </c>
      <c r="AM39" s="5">
        <f t="shared" si="12"/>
        <v>0</v>
      </c>
      <c r="AN39" s="5">
        <f t="shared" si="12"/>
        <v>0</v>
      </c>
      <c r="AO39" s="5">
        <f t="shared" si="12"/>
        <v>0</v>
      </c>
    </row>
    <row r="40" spans="1:41" ht="11.25">
      <c r="A40" s="2" t="s">
        <v>2</v>
      </c>
      <c r="B40" s="5">
        <f>depremp(B$9,$B$13:B$13,$B37,$B$6,$B$5)</f>
        <v>2.388815980504444</v>
      </c>
      <c r="C40" s="5">
        <f>depremp(C$9,$B$13:C$13,$B37,$B$6,$B$5)</f>
        <v>4.717265251626412</v>
      </c>
      <c r="D40" s="5">
        <f>depremp(D$9,$B$13:D$13,$B37,$B$6,$B$5)</f>
        <v>7.3212036880865305</v>
      </c>
      <c r="E40" s="5">
        <f>depremp(E$9,$B$13:E$13,$B37,$B$6,$B$5)</f>
        <v>10.22905049699463</v>
      </c>
      <c r="F40" s="5">
        <f>depremp(F$9,$B$13:F$13,$B37,$B$6,$B$5)</f>
        <v>13.472084567203835</v>
      </c>
      <c r="G40" s="5">
        <f>depremp(G$9,$B$13:G$13,$B37,$B$6,$B$5)</f>
        <v>17.08473079995443</v>
      </c>
      <c r="H40" s="5">
        <f>depremp(H$9,$B$13:H$13,$B37,$B$6,$B$5)</f>
        <v>21.104875079980822</v>
      </c>
      <c r="I40" s="5">
        <f>depremp(I$9,$B$13:I$13,$B37,$B$6,$B$5)</f>
        <v>25.57421075127564</v>
      </c>
      <c r="J40" s="5">
        <f>depremp(J$9,$B$13:J$13,$B37,$B$6,$B$5)</f>
        <v>30.538619748134654</v>
      </c>
      <c r="K40" s="5">
        <f>depremp(K$9,$B$13:K$13,$B37,$B$6,$B$5)</f>
        <v>36.04859184716369</v>
      </c>
      <c r="L40" s="5">
        <f>depremp(L$9,$B$13:L$13,$B37,$B$6,$B$5)</f>
        <v>42.15968585250873</v>
      </c>
      <c r="M40" s="5">
        <f>depremp(M$9,$B$13:M$13,$B37,$B$6,$B$5)</f>
        <v>48.93303690778828</v>
      </c>
      <c r="N40" s="5">
        <f>depremp(N$9,$B$13:N$13,$B37,$B$6,$B$5)</f>
        <v>56.435914547576125</v>
      </c>
      <c r="O40" s="5">
        <f>depremp(O$9,$B$13:O$13,$B37,$B$6,$B$5)</f>
        <v>64.74233656254746</v>
      </c>
      <c r="P40" s="5">
        <f>depremp(P$9,$B$13:P$13,$B37,$B$6,$B$5)</f>
        <v>73.933744259836</v>
      </c>
      <c r="Q40" s="5">
        <f>depremp(Q$9,$B$13:Q$13,$B37,$B$6,$B$5)</f>
        <v>84.09974525830333</v>
      </c>
      <c r="R40" s="5">
        <f>depremp(R$9,$B$13:R$13,$B37,$B$6,$B$5)</f>
        <v>95.33893057238241</v>
      </c>
      <c r="S40" s="5">
        <f>depremp(S$9,$B$13:S$13,$B37,$B$6,$B$5)</f>
        <v>107.75977341354775</v>
      </c>
      <c r="T40" s="5">
        <f>depremp(T$9,$B$13:T$13,$B37,$B$6,$B$5)</f>
        <v>121.48161788135894</v>
      </c>
      <c r="U40" s="20">
        <f>depremp(U$9,$B$13:U$13,$B37,$B$6,$B$5)</f>
        <v>136.63576653322588</v>
      </c>
      <c r="V40" s="5">
        <f>depremp(V$9,$B$13:V$13,$B37,$B$6,$B$5)</f>
        <v>0</v>
      </c>
      <c r="W40" s="5">
        <f>depremp(W$9,$B$13:W$13,$B37,$B$6,$B$5)</f>
        <v>0</v>
      </c>
      <c r="X40" s="5">
        <f>depremp(X$9,$B$13:X$13,$B37,$B$6,$B$5)</f>
        <v>0</v>
      </c>
      <c r="Y40" s="5">
        <f>depremp(Y$9,$B$13:Y$13,$B37,$B$6,$B$5)</f>
        <v>0</v>
      </c>
      <c r="Z40" s="5">
        <f>depremp(Z$9,$B$13:Z$13,$B37,$B$6,$B$5)</f>
        <v>0</v>
      </c>
      <c r="AA40" s="5">
        <f>depremp(AA$9,$B$13:AA$13,$B37,$B$6,$B$5)</f>
        <v>0</v>
      </c>
      <c r="AB40" s="5">
        <f>depremp(AB$9,$B$13:AB$13,$B37,$B$6,$B$5)</f>
        <v>0</v>
      </c>
      <c r="AC40" s="5">
        <f>depremp(AC$9,$B$13:AC$13,$B37,$B$6,$B$5)</f>
        <v>0</v>
      </c>
      <c r="AD40" s="5">
        <f>depremp(AD$9,$B$13:AD$13,$B37,$B$6,$B$5)</f>
        <v>0</v>
      </c>
      <c r="AE40" s="5">
        <f>depremp(AE$9,$B$13:AE$13,$B37,$B$6,$B$5)</f>
        <v>0</v>
      </c>
      <c r="AF40" s="5">
        <f>depremp(AF$9,$B$13:AF$13,$B37,$B$6,$B$5)</f>
        <v>0</v>
      </c>
      <c r="AG40" s="5">
        <f>depremp(AG$9,$B$13:AG$13,$B37,$B$6,$B$5)</f>
        <v>0</v>
      </c>
      <c r="AH40" s="5">
        <f>depremp(AH$9,$B$13:AH$13,$B37,$B$6,$B$5)</f>
        <v>0</v>
      </c>
      <c r="AI40" s="5">
        <f>depremp(AI$9,$B$13:AI$13,$B37,$B$6,$B$5)</f>
        <v>0</v>
      </c>
      <c r="AJ40" s="5">
        <f>depremp(AJ$9,$B$13:AJ$13,$B37,$B$6,$B$5)</f>
        <v>0</v>
      </c>
      <c r="AK40" s="5">
        <f>depremp(AK$9,$B$13:AK$13,$B37,$B$6,$B$5)</f>
        <v>0</v>
      </c>
      <c r="AL40" s="5">
        <f>depremp(AL$9,$B$13:AL$13,$B37,$B$6,$B$5)</f>
        <v>0</v>
      </c>
      <c r="AM40" s="5">
        <f>depremp(AM$9,$B$13:AM$13,$B37,$B$6,$B$5)</f>
        <v>0</v>
      </c>
      <c r="AN40" s="5">
        <f>depremp(AN$9,$B$13:AN$13,$B37,$B$6,$B$5)</f>
        <v>0</v>
      </c>
      <c r="AO40" s="5">
        <f>depremp(AO$9,$B$13:AO$13,$B37,$B$6,$B$5)</f>
        <v>0</v>
      </c>
    </row>
    <row r="41" spans="1:41" ht="11.25">
      <c r="A41" s="2" t="s">
        <v>25</v>
      </c>
      <c r="B41" s="6">
        <f aca="true" t="shared" si="13" ref="B41:AO41">($B$5*B38+B40)/(1+$B$5)</f>
        <v>93.08074180045858</v>
      </c>
      <c r="C41" s="6">
        <f t="shared" si="13"/>
        <v>94.98034877597816</v>
      </c>
      <c r="D41" s="6">
        <f t="shared" si="13"/>
        <v>96.91872324079404</v>
      </c>
      <c r="E41" s="6">
        <f t="shared" si="13"/>
        <v>98.89665636815718</v>
      </c>
      <c r="F41" s="6">
        <f t="shared" si="13"/>
        <v>100.91495547771147</v>
      </c>
      <c r="G41" s="6">
        <f t="shared" si="13"/>
        <v>102.97444436501168</v>
      </c>
      <c r="H41" s="6">
        <f t="shared" si="13"/>
        <v>105.07596363776707</v>
      </c>
      <c r="I41" s="6">
        <f t="shared" si="13"/>
        <v>107.22037105894594</v>
      </c>
      <c r="J41" s="6">
        <f t="shared" si="13"/>
        <v>109.40854189688362</v>
      </c>
      <c r="K41" s="6">
        <f t="shared" si="13"/>
        <v>111.64136928253413</v>
      </c>
      <c r="L41" s="6">
        <f t="shared" si="13"/>
        <v>113.91976457401475</v>
      </c>
      <c r="M41" s="6">
        <f t="shared" si="13"/>
        <v>116.24465772858626</v>
      </c>
      <c r="N41" s="6">
        <f t="shared" si="13"/>
        <v>118.61699768223083</v>
      </c>
      <c r="O41" s="6">
        <f t="shared" si="13"/>
        <v>121.03775273697056</v>
      </c>
      <c r="P41" s="6">
        <f t="shared" si="13"/>
        <v>123.5079109560922</v>
      </c>
      <c r="Q41" s="6">
        <f t="shared" si="13"/>
        <v>126.02848056744104</v>
      </c>
      <c r="R41" s="6">
        <f t="shared" si="13"/>
        <v>128.6004903749399</v>
      </c>
      <c r="S41" s="6">
        <f t="shared" si="13"/>
        <v>131.22499017851</v>
      </c>
      <c r="T41" s="6">
        <f t="shared" si="13"/>
        <v>133.9030512025613</v>
      </c>
      <c r="U41" s="6">
        <f t="shared" si="13"/>
        <v>136.63576653322588</v>
      </c>
      <c r="V41" s="6">
        <f t="shared" si="13"/>
        <v>0</v>
      </c>
      <c r="W41" s="6">
        <f t="shared" si="13"/>
        <v>0</v>
      </c>
      <c r="X41" s="6">
        <f t="shared" si="13"/>
        <v>0</v>
      </c>
      <c r="Y41" s="6">
        <f t="shared" si="13"/>
        <v>0</v>
      </c>
      <c r="Z41" s="6">
        <f t="shared" si="13"/>
        <v>0</v>
      </c>
      <c r="AA41" s="6">
        <f t="shared" si="13"/>
        <v>0</v>
      </c>
      <c r="AB41" s="6">
        <f t="shared" si="13"/>
        <v>0</v>
      </c>
      <c r="AC41" s="6">
        <f t="shared" si="13"/>
        <v>0</v>
      </c>
      <c r="AD41" s="6">
        <f t="shared" si="13"/>
        <v>0</v>
      </c>
      <c r="AE41" s="6">
        <f t="shared" si="13"/>
        <v>0</v>
      </c>
      <c r="AF41" s="6">
        <f t="shared" si="13"/>
        <v>0</v>
      </c>
      <c r="AG41" s="6">
        <f t="shared" si="13"/>
        <v>0</v>
      </c>
      <c r="AH41" s="6">
        <f t="shared" si="13"/>
        <v>0</v>
      </c>
      <c r="AI41" s="6">
        <f t="shared" si="13"/>
        <v>0</v>
      </c>
      <c r="AJ41" s="6">
        <f t="shared" si="13"/>
        <v>0</v>
      </c>
      <c r="AK41" s="6">
        <f t="shared" si="13"/>
        <v>0</v>
      </c>
      <c r="AL41" s="6">
        <f t="shared" si="13"/>
        <v>0</v>
      </c>
      <c r="AM41" s="6">
        <f t="shared" si="13"/>
        <v>0</v>
      </c>
      <c r="AN41" s="6">
        <f t="shared" si="13"/>
        <v>0</v>
      </c>
      <c r="AO41" s="6">
        <f t="shared" si="13"/>
        <v>0</v>
      </c>
    </row>
    <row r="42" spans="1:41" ht="11.25">
      <c r="A42" s="12" t="s">
        <v>26</v>
      </c>
      <c r="B42" s="13">
        <f>B41</f>
        <v>93.08074180045858</v>
      </c>
      <c r="C42" s="14">
        <f aca="true" t="shared" si="14" ref="C42:AO42">B42+C41/(1+$B$5)^(C$9-1)</f>
        <v>179.42651341498419</v>
      </c>
      <c r="D42" s="14">
        <f t="shared" si="14"/>
        <v>259.5246317958057</v>
      </c>
      <c r="E42" s="14">
        <f t="shared" si="14"/>
        <v>333.82715348487943</v>
      </c>
      <c r="F42" s="14">
        <f t="shared" si="14"/>
        <v>402.7534259237234</v>
      </c>
      <c r="G42" s="14">
        <f t="shared" si="14"/>
        <v>466.6924541601278</v>
      </c>
      <c r="H42" s="14">
        <f t="shared" si="14"/>
        <v>526.005096308926</v>
      </c>
      <c r="I42" s="14">
        <f t="shared" si="14"/>
        <v>581.0261001575328</v>
      </c>
      <c r="J42" s="14">
        <f t="shared" si="14"/>
        <v>632.0659924104149</v>
      </c>
      <c r="K42" s="14">
        <f t="shared" si="14"/>
        <v>679.4128312349807</v>
      </c>
      <c r="L42" s="14">
        <f t="shared" si="14"/>
        <v>723.3338319998841</v>
      </c>
      <c r="M42" s="14">
        <f t="shared" si="14"/>
        <v>764.076875381056</v>
      </c>
      <c r="N42" s="14">
        <f t="shared" si="14"/>
        <v>801.8719063468926</v>
      </c>
      <c r="O42" s="14">
        <f t="shared" si="14"/>
        <v>836.9322319181698</v>
      </c>
      <c r="P42" s="14">
        <f t="shared" si="14"/>
        <v>869.4557250269612</v>
      </c>
      <c r="Q42" s="14">
        <f t="shared" si="14"/>
        <v>899.6259412688827</v>
      </c>
      <c r="R42" s="14">
        <f t="shared" si="14"/>
        <v>927.6131548513702</v>
      </c>
      <c r="S42" s="14">
        <f t="shared" si="14"/>
        <v>953.575319584661</v>
      </c>
      <c r="T42" s="14">
        <f t="shared" si="14"/>
        <v>977.6589603391051</v>
      </c>
      <c r="U42" s="14">
        <f t="shared" si="14"/>
        <v>999.9999999999994</v>
      </c>
      <c r="V42" s="14">
        <f t="shared" si="14"/>
        <v>999.9999999999994</v>
      </c>
      <c r="W42" s="14">
        <f t="shared" si="14"/>
        <v>999.9999999999994</v>
      </c>
      <c r="X42" s="14">
        <f t="shared" si="14"/>
        <v>999.9999999999994</v>
      </c>
      <c r="Y42" s="14">
        <f t="shared" si="14"/>
        <v>999.9999999999994</v>
      </c>
      <c r="Z42" s="14">
        <f t="shared" si="14"/>
        <v>999.9999999999994</v>
      </c>
      <c r="AA42" s="14">
        <f t="shared" si="14"/>
        <v>999.9999999999994</v>
      </c>
      <c r="AB42" s="14">
        <f t="shared" si="14"/>
        <v>999.9999999999994</v>
      </c>
      <c r="AC42" s="14">
        <f t="shared" si="14"/>
        <v>999.9999999999994</v>
      </c>
      <c r="AD42" s="14">
        <f t="shared" si="14"/>
        <v>999.9999999999994</v>
      </c>
      <c r="AE42" s="14">
        <f t="shared" si="14"/>
        <v>999.9999999999994</v>
      </c>
      <c r="AF42" s="14">
        <f t="shared" si="14"/>
        <v>999.9999999999994</v>
      </c>
      <c r="AG42" s="14">
        <f t="shared" si="14"/>
        <v>999.9999999999994</v>
      </c>
      <c r="AH42" s="14">
        <f t="shared" si="14"/>
        <v>999.9999999999994</v>
      </c>
      <c r="AI42" s="14">
        <f t="shared" si="14"/>
        <v>999.9999999999994</v>
      </c>
      <c r="AJ42" s="14">
        <f t="shared" si="14"/>
        <v>999.9999999999994</v>
      </c>
      <c r="AK42" s="14">
        <f t="shared" si="14"/>
        <v>999.9999999999994</v>
      </c>
      <c r="AL42" s="14">
        <f t="shared" si="14"/>
        <v>999.9999999999994</v>
      </c>
      <c r="AM42" s="14">
        <f t="shared" si="14"/>
        <v>999.9999999999994</v>
      </c>
      <c r="AN42" s="14">
        <f t="shared" si="14"/>
        <v>999.9999999999994</v>
      </c>
      <c r="AO42" s="14">
        <f t="shared" si="14"/>
        <v>999.9999999999994</v>
      </c>
    </row>
    <row r="44" spans="3:21" ht="11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</sheetData>
  <printOptions/>
  <pageMargins left="0.75" right="0.75" top="1" bottom="1" header="0.4921259845" footer="0.4921259845"/>
  <pageSetup fitToHeight="1" fitToWidth="1" horizontalDpi="1200" verticalDpi="12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R59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2" customWidth="1"/>
    <col min="2" max="41" width="4.8515625" style="2" customWidth="1"/>
    <col min="42" max="42" width="5.8515625" style="2" customWidth="1"/>
    <col min="43" max="44" width="6.140625" style="2" customWidth="1"/>
    <col min="45" max="16384" width="11.421875" style="2" customWidth="1"/>
  </cols>
  <sheetData>
    <row r="1" spans="1:9" ht="11.25">
      <c r="A1" s="1" t="s">
        <v>8</v>
      </c>
      <c r="B1" s="1"/>
      <c r="F1" s="9"/>
      <c r="G1" s="9"/>
      <c r="H1" s="9"/>
      <c r="I1" s="9"/>
    </row>
    <row r="2" spans="1:11" ht="12.75" customHeight="1">
      <c r="A2" s="2" t="s">
        <v>9</v>
      </c>
      <c r="B2" s="2">
        <v>1000</v>
      </c>
      <c r="C2" s="2" t="s">
        <v>0</v>
      </c>
      <c r="F2" s="9"/>
      <c r="G2" s="31" t="s">
        <v>16</v>
      </c>
      <c r="H2" s="31"/>
      <c r="I2" s="31"/>
      <c r="J2" s="31"/>
      <c r="K2" s="3">
        <v>0.1</v>
      </c>
    </row>
    <row r="3" spans="1:11" ht="12.75" customHeight="1">
      <c r="A3" s="2" t="s">
        <v>12</v>
      </c>
      <c r="B3" s="2">
        <v>15</v>
      </c>
      <c r="C3" s="2" t="s">
        <v>1</v>
      </c>
      <c r="F3" s="9"/>
      <c r="G3" s="31" t="s">
        <v>14</v>
      </c>
      <c r="H3" s="31"/>
      <c r="I3" s="31"/>
      <c r="J3" s="31"/>
      <c r="K3" s="3">
        <v>-0.02</v>
      </c>
    </row>
    <row r="4" spans="1:11" ht="12.75" customHeight="1">
      <c r="A4" s="2" t="s">
        <v>13</v>
      </c>
      <c r="B4" s="2">
        <v>20</v>
      </c>
      <c r="C4" s="2" t="s">
        <v>1</v>
      </c>
      <c r="F4" s="9"/>
      <c r="G4" s="31" t="s">
        <v>15</v>
      </c>
      <c r="H4" s="31"/>
      <c r="I4" s="31"/>
      <c r="J4" s="31"/>
      <c r="K4" s="4">
        <f>(1+K2)*(1+K3)-1</f>
        <v>0.07800000000000007</v>
      </c>
    </row>
    <row r="6" spans="1:43" ht="11.25">
      <c r="A6" s="1" t="s">
        <v>17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  <c r="Y6" s="2">
        <v>24</v>
      </c>
      <c r="Z6" s="2">
        <v>25</v>
      </c>
      <c r="AA6" s="2">
        <v>26</v>
      </c>
      <c r="AB6" s="2">
        <v>27</v>
      </c>
      <c r="AC6" s="2">
        <v>28</v>
      </c>
      <c r="AD6" s="2">
        <v>29</v>
      </c>
      <c r="AE6" s="2">
        <v>30</v>
      </c>
      <c r="AF6" s="2">
        <v>31</v>
      </c>
      <c r="AG6" s="2">
        <f>AF6+1</f>
        <v>32</v>
      </c>
      <c r="AH6" s="2">
        <f aca="true" t="shared" si="0" ref="AH6:AO6">AG6+1</f>
        <v>33</v>
      </c>
      <c r="AI6" s="2">
        <f t="shared" si="0"/>
        <v>34</v>
      </c>
      <c r="AJ6" s="2">
        <f t="shared" si="0"/>
        <v>35</v>
      </c>
      <c r="AK6" s="2">
        <f t="shared" si="0"/>
        <v>36</v>
      </c>
      <c r="AL6" s="2">
        <f t="shared" si="0"/>
        <v>37</v>
      </c>
      <c r="AM6" s="2">
        <f t="shared" si="0"/>
        <v>38</v>
      </c>
      <c r="AN6" s="2">
        <f t="shared" si="0"/>
        <v>39</v>
      </c>
      <c r="AO6" s="2">
        <f t="shared" si="0"/>
        <v>40</v>
      </c>
      <c r="AQ6" s="24" t="s">
        <v>5</v>
      </c>
    </row>
    <row r="7" ht="11.25">
      <c r="A7" s="1"/>
    </row>
    <row r="8" ht="11.25">
      <c r="A8" s="1" t="s">
        <v>18</v>
      </c>
    </row>
    <row r="9" spans="1:41" ht="11.25">
      <c r="A9" s="2" t="s">
        <v>19</v>
      </c>
      <c r="B9" s="3">
        <f>1/$B$4</f>
        <v>0.05</v>
      </c>
      <c r="C9" s="3">
        <f aca="true" t="shared" si="1" ref="C9:AO9">1/$B$4</f>
        <v>0.05</v>
      </c>
      <c r="D9" s="3">
        <f t="shared" si="1"/>
        <v>0.05</v>
      </c>
      <c r="E9" s="3">
        <f t="shared" si="1"/>
        <v>0.05</v>
      </c>
      <c r="F9" s="3">
        <f t="shared" si="1"/>
        <v>0.05</v>
      </c>
      <c r="G9" s="3">
        <f t="shared" si="1"/>
        <v>0.05</v>
      </c>
      <c r="H9" s="3">
        <f t="shared" si="1"/>
        <v>0.05</v>
      </c>
      <c r="I9" s="3">
        <f t="shared" si="1"/>
        <v>0.05</v>
      </c>
      <c r="J9" s="3">
        <f t="shared" si="1"/>
        <v>0.05</v>
      </c>
      <c r="K9" s="3">
        <f t="shared" si="1"/>
        <v>0.05</v>
      </c>
      <c r="L9" s="3">
        <f t="shared" si="1"/>
        <v>0.05</v>
      </c>
      <c r="M9" s="3">
        <f t="shared" si="1"/>
        <v>0.05</v>
      </c>
      <c r="N9" s="3">
        <f t="shared" si="1"/>
        <v>0.05</v>
      </c>
      <c r="O9" s="3">
        <f t="shared" si="1"/>
        <v>0.05</v>
      </c>
      <c r="P9" s="3">
        <f t="shared" si="1"/>
        <v>0.05</v>
      </c>
      <c r="Q9" s="3">
        <f t="shared" si="1"/>
        <v>0.05</v>
      </c>
      <c r="R9" s="3">
        <f t="shared" si="1"/>
        <v>0.05</v>
      </c>
      <c r="S9" s="3">
        <f t="shared" si="1"/>
        <v>0.05</v>
      </c>
      <c r="T9" s="3">
        <f t="shared" si="1"/>
        <v>0.05</v>
      </c>
      <c r="U9" s="3">
        <f t="shared" si="1"/>
        <v>0.05</v>
      </c>
      <c r="V9" s="3">
        <f t="shared" si="1"/>
        <v>0.05</v>
      </c>
      <c r="W9" s="3">
        <f t="shared" si="1"/>
        <v>0.05</v>
      </c>
      <c r="X9" s="3">
        <f t="shared" si="1"/>
        <v>0.05</v>
      </c>
      <c r="Y9" s="3">
        <f t="shared" si="1"/>
        <v>0.05</v>
      </c>
      <c r="Z9" s="3">
        <f t="shared" si="1"/>
        <v>0.05</v>
      </c>
      <c r="AA9" s="3">
        <f t="shared" si="1"/>
        <v>0.05</v>
      </c>
      <c r="AB9" s="3">
        <f t="shared" si="1"/>
        <v>0.05</v>
      </c>
      <c r="AC9" s="3">
        <f t="shared" si="1"/>
        <v>0.05</v>
      </c>
      <c r="AD9" s="3">
        <f t="shared" si="1"/>
        <v>0.05</v>
      </c>
      <c r="AE9" s="3">
        <f t="shared" si="1"/>
        <v>0.05</v>
      </c>
      <c r="AF9" s="3">
        <f t="shared" si="1"/>
        <v>0.05</v>
      </c>
      <c r="AG9" s="3">
        <f t="shared" si="1"/>
        <v>0.05</v>
      </c>
      <c r="AH9" s="3">
        <f t="shared" si="1"/>
        <v>0.05</v>
      </c>
      <c r="AI9" s="3">
        <f t="shared" si="1"/>
        <v>0.05</v>
      </c>
      <c r="AJ9" s="3">
        <f t="shared" si="1"/>
        <v>0.05</v>
      </c>
      <c r="AK9" s="3">
        <f t="shared" si="1"/>
        <v>0.05</v>
      </c>
      <c r="AL9" s="3">
        <f t="shared" si="1"/>
        <v>0.05</v>
      </c>
      <c r="AM9" s="3">
        <f t="shared" si="1"/>
        <v>0.05</v>
      </c>
      <c r="AN9" s="3">
        <f t="shared" si="1"/>
        <v>0.05</v>
      </c>
      <c r="AO9" s="3">
        <f t="shared" si="1"/>
        <v>0.05</v>
      </c>
    </row>
    <row r="10" spans="1:41" ht="11.25">
      <c r="A10" s="2" t="s">
        <v>20</v>
      </c>
      <c r="B10" s="5">
        <f>B$9*$B$2/(1+$K$3)^(B$6-1)</f>
        <v>50</v>
      </c>
      <c r="C10" s="5">
        <f aca="true" t="shared" si="2" ref="C10:AO10">C$9*$B$2/(1+$K$3)^(C$6-1)</f>
        <v>51.02040816326531</v>
      </c>
      <c r="D10" s="5">
        <f t="shared" si="2"/>
        <v>52.061640982923784</v>
      </c>
      <c r="E10" s="5">
        <f t="shared" si="2"/>
        <v>53.124123451963044</v>
      </c>
      <c r="F10" s="5">
        <f t="shared" si="2"/>
        <v>54.20828923669699</v>
      </c>
      <c r="G10" s="5">
        <f t="shared" si="2"/>
        <v>55.31458085377244</v>
      </c>
      <c r="H10" s="5">
        <f t="shared" si="2"/>
        <v>56.443449850788205</v>
      </c>
      <c r="I10" s="5">
        <f t="shared" si="2"/>
        <v>57.59535699060021</v>
      </c>
      <c r="J10" s="5">
        <f t="shared" si="2"/>
        <v>58.770772439387976</v>
      </c>
      <c r="K10" s="5">
        <f t="shared" si="2"/>
        <v>59.97017595855915</v>
      </c>
      <c r="L10" s="5">
        <f t="shared" si="2"/>
        <v>61.194057100570575</v>
      </c>
      <c r="M10" s="5">
        <f t="shared" si="2"/>
        <v>62.442915408745485</v>
      </c>
      <c r="N10" s="5">
        <f t="shared" si="2"/>
        <v>63.71726062116886</v>
      </c>
      <c r="O10" s="5">
        <f t="shared" si="2"/>
        <v>65.01761287874375</v>
      </c>
      <c r="P10" s="5">
        <f t="shared" si="2"/>
        <v>66.34450293749362</v>
      </c>
      <c r="Q10" s="5">
        <f t="shared" si="2"/>
        <v>67.69847238519756</v>
      </c>
      <c r="R10" s="5">
        <f t="shared" si="2"/>
        <v>69.0800738624465</v>
      </c>
      <c r="S10" s="5">
        <f t="shared" si="2"/>
        <v>70.48987128821071</v>
      </c>
      <c r="T10" s="5">
        <f t="shared" si="2"/>
        <v>71.92844009001094</v>
      </c>
      <c r="U10" s="5">
        <f t="shared" si="2"/>
        <v>73.39636743878667</v>
      </c>
      <c r="V10" s="5">
        <f t="shared" si="2"/>
        <v>74.89425248855783</v>
      </c>
      <c r="W10" s="5">
        <f t="shared" si="2"/>
        <v>76.42270662097738</v>
      </c>
      <c r="X10" s="5">
        <f t="shared" si="2"/>
        <v>77.98235369487487</v>
      </c>
      <c r="Y10" s="5">
        <f t="shared" si="2"/>
        <v>79.57383030089274</v>
      </c>
      <c r="Z10" s="5">
        <f t="shared" si="2"/>
        <v>81.19778602131912</v>
      </c>
      <c r="AA10" s="5">
        <f t="shared" si="2"/>
        <v>82.85488369522359</v>
      </c>
      <c r="AB10" s="5">
        <f t="shared" si="2"/>
        <v>84.54579968900367</v>
      </c>
      <c r="AC10" s="5">
        <f t="shared" si="2"/>
        <v>86.27122417245273</v>
      </c>
      <c r="AD10" s="5">
        <f t="shared" si="2"/>
        <v>88.03186140046198</v>
      </c>
      <c r="AE10" s="5">
        <f t="shared" si="2"/>
        <v>89.8284300004714</v>
      </c>
      <c r="AF10" s="5">
        <f t="shared" si="2"/>
        <v>91.66166326578714</v>
      </c>
      <c r="AG10" s="5">
        <f t="shared" si="2"/>
        <v>93.53230945488485</v>
      </c>
      <c r="AH10" s="5">
        <f t="shared" si="2"/>
        <v>95.44113209682128</v>
      </c>
      <c r="AI10" s="5">
        <f t="shared" si="2"/>
        <v>97.38891030287886</v>
      </c>
      <c r="AJ10" s="5">
        <f t="shared" si="2"/>
        <v>99.37643908457025</v>
      </c>
      <c r="AK10" s="5">
        <f t="shared" si="2"/>
        <v>101.40452967813293</v>
      </c>
      <c r="AL10" s="5">
        <f t="shared" si="2"/>
        <v>103.47400987564585</v>
      </c>
      <c r="AM10" s="5">
        <f t="shared" si="2"/>
        <v>105.58572436290393</v>
      </c>
      <c r="AN10" s="5">
        <f t="shared" si="2"/>
        <v>107.7405350641877</v>
      </c>
      <c r="AO10" s="5">
        <f t="shared" si="2"/>
        <v>109.93932149406908</v>
      </c>
    </row>
    <row r="11" spans="1:41" ht="11.25">
      <c r="A11" s="12" t="s">
        <v>21</v>
      </c>
      <c r="B11" s="13">
        <f>B10</f>
        <v>50</v>
      </c>
      <c r="C11" s="14">
        <f aca="true" t="shared" si="3" ref="C11:AO11">B11+C10/(1+$K$2)^(C$6-1)</f>
        <v>96.38218923933209</v>
      </c>
      <c r="D11" s="14">
        <f t="shared" si="3"/>
        <v>139.40833881199637</v>
      </c>
      <c r="E11" s="14">
        <f t="shared" si="3"/>
        <v>179.3212790463788</v>
      </c>
      <c r="F11" s="14">
        <f t="shared" si="3"/>
        <v>216.3462699873644</v>
      </c>
      <c r="G11" s="14">
        <f t="shared" si="3"/>
        <v>250.69227271555138</v>
      </c>
      <c r="H11" s="14">
        <f t="shared" si="3"/>
        <v>282.5531286786191</v>
      </c>
      <c r="I11" s="14">
        <f t="shared" si="3"/>
        <v>312.1086536907413</v>
      </c>
      <c r="J11" s="14">
        <f t="shared" si="3"/>
        <v>339.5256527743426</v>
      </c>
      <c r="K11" s="14">
        <f t="shared" si="3"/>
        <v>364.95886157174635</v>
      </c>
      <c r="L11" s="14">
        <f t="shared" si="3"/>
        <v>388.5518196398389</v>
      </c>
      <c r="M11" s="14">
        <f t="shared" si="3"/>
        <v>410.4376805564368</v>
      </c>
      <c r="N11" s="14">
        <f t="shared" si="3"/>
        <v>430.73996341042374</v>
      </c>
      <c r="O11" s="14">
        <f t="shared" si="3"/>
        <v>449.5732499169051</v>
      </c>
      <c r="P11" s="14">
        <f t="shared" si="3"/>
        <v>467.0438310917487</v>
      </c>
      <c r="Q11" s="14">
        <f t="shared" si="3"/>
        <v>483.2503071352029</v>
      </c>
      <c r="R11" s="14">
        <f t="shared" si="3"/>
        <v>498.28414391020675</v>
      </c>
      <c r="S11" s="14">
        <f t="shared" si="3"/>
        <v>512.230189156036</v>
      </c>
      <c r="T11" s="14">
        <f t="shared" si="3"/>
        <v>525.1671513506827</v>
      </c>
      <c r="U11" s="14">
        <f t="shared" si="3"/>
        <v>537.1680439245665</v>
      </c>
      <c r="V11" s="14">
        <f t="shared" si="3"/>
        <v>548.300597332622</v>
      </c>
      <c r="W11" s="14">
        <f t="shared" si="3"/>
        <v>558.62764131041</v>
      </c>
      <c r="X11" s="14">
        <f t="shared" si="3"/>
        <v>568.2074594716233</v>
      </c>
      <c r="Y11" s="14">
        <f t="shared" si="3"/>
        <v>577.0941182482591</v>
      </c>
      <c r="Z11" s="14">
        <f t="shared" si="3"/>
        <v>585.3377720299248</v>
      </c>
      <c r="AA11" s="14">
        <f t="shared" si="3"/>
        <v>592.98494622442</v>
      </c>
      <c r="AB11" s="14">
        <f t="shared" si="3"/>
        <v>600.0787998371243</v>
      </c>
      <c r="AC11" s="14">
        <f t="shared" si="3"/>
        <v>606.6593690511356</v>
      </c>
      <c r="AD11" s="14">
        <f t="shared" si="3"/>
        <v>612.7637931828716</v>
      </c>
      <c r="AE11" s="14">
        <f t="shared" si="3"/>
        <v>618.4265242883781</v>
      </c>
      <c r="AF11" s="14">
        <f t="shared" si="3"/>
        <v>623.6795216033192</v>
      </c>
      <c r="AG11" s="14">
        <f t="shared" si="3"/>
        <v>628.5524319140252</v>
      </c>
      <c r="AH11" s="14">
        <f t="shared" si="3"/>
        <v>633.0727568775743</v>
      </c>
      <c r="AI11" s="14">
        <f t="shared" si="3"/>
        <v>637.2660082352266</v>
      </c>
      <c r="AJ11" s="14">
        <f t="shared" si="3"/>
        <v>641.155851795201</v>
      </c>
      <c r="AK11" s="14">
        <f t="shared" si="3"/>
        <v>644.7642409974035</v>
      </c>
      <c r="AL11" s="14">
        <f t="shared" si="3"/>
        <v>648.1115408139178</v>
      </c>
      <c r="AM11" s="14">
        <f t="shared" si="3"/>
        <v>651.2166426845249</v>
      </c>
      <c r="AN11" s="14">
        <f t="shared" si="3"/>
        <v>654.0970711359229</v>
      </c>
      <c r="AO11" s="14">
        <f t="shared" si="3"/>
        <v>656.7690826863849</v>
      </c>
    </row>
    <row r="12" ht="11.25">
      <c r="A12" s="1"/>
    </row>
    <row r="13" spans="1:3" ht="11.25">
      <c r="A13" s="1" t="s">
        <v>29</v>
      </c>
      <c r="B13" s="2">
        <f>B3</f>
        <v>15</v>
      </c>
      <c r="C13" s="2" t="s">
        <v>11</v>
      </c>
    </row>
    <row r="14" spans="1:44" ht="11.25">
      <c r="A14" s="2" t="s">
        <v>23</v>
      </c>
      <c r="B14" s="5">
        <f>vlin(B$6,$B$10:B$10,$B13)</f>
        <v>50</v>
      </c>
      <c r="C14" s="5">
        <f>vlin(C$6,$B$10:C$10,$B13)</f>
        <v>97.68707482993197</v>
      </c>
      <c r="D14" s="5">
        <f>vlin(D$6,$B$10:D$10,$B13)</f>
        <v>143.01402193530475</v>
      </c>
      <c r="E14" s="5">
        <f>vlin(E$6,$B$10:E$10,$B13)</f>
        <v>185.93267544418853</v>
      </c>
      <c r="F14" s="5">
        <f>vlin(F$6,$B$10:F$10,$B13)</f>
        <v>226.39388650767538</v>
      </c>
      <c r="G14" s="5">
        <f>vlin(G$6,$B$10:G$10,$B13)</f>
        <v>264.34750323912453</v>
      </c>
      <c r="H14" s="5">
        <f>vlin(H$6,$B$10:H$10,$B13)</f>
        <v>299.7423502440046</v>
      </c>
      <c r="I14" s="5">
        <f>vlin(I$6,$B$10:I$10,$B13)</f>
        <v>332.5262077319775</v>
      </c>
      <c r="J14" s="5">
        <f>vlin(J$6,$B$10:J$10,$B13)</f>
        <v>362.6457902026982</v>
      </c>
      <c r="K14" s="5">
        <f>vlin(K$6,$B$10:K$10,$B13)</f>
        <v>390.04672469663075</v>
      </c>
      <c r="L14" s="5">
        <f>vlin(L$6,$B$10:L$10,$B13)</f>
        <v>414.67352860200424</v>
      </c>
      <c r="M14" s="5">
        <f>vlin(M$6,$B$10:M$10,$B13)</f>
        <v>436.4695870088479</v>
      </c>
      <c r="N14" s="5">
        <f>vlin(N$6,$B$10:N$10,$B13)</f>
        <v>455.3771296008652</v>
      </c>
      <c r="O14" s="5">
        <f>vlin(O$6,$B$10:O$10,$B13)</f>
        <v>471.33720707571274</v>
      </c>
      <c r="P14" s="5">
        <f>vlin(P$6,$B$10:P$10,$B13)</f>
        <v>484.28966708406074</v>
      </c>
      <c r="Q14" s="5">
        <f>vlin(Q$6,$B$10:Q$10,$B13)</f>
        <v>494.1731296776129</v>
      </c>
      <c r="R14" s="5">
        <f>vlin(R$6,$B$10:R$10,$B13)</f>
        <v>504.258295589401</v>
      </c>
      <c r="S14" s="5">
        <f>vlin(S$6,$B$10:S$10,$B13)</f>
        <v>514.5492812136745</v>
      </c>
      <c r="T14" s="5">
        <f>vlin(T$6,$B$10:T$10,$B13)</f>
        <v>525.0502869527292</v>
      </c>
      <c r="U14" s="19">
        <f>vlin(U$6,$B$10:U$10,$B13)</f>
        <v>535.7655989313562</v>
      </c>
      <c r="V14" s="5">
        <f>vlin(V$6,$B$10:V$10,$B13)</f>
        <v>546.699590746282</v>
      </c>
      <c r="W14" s="5">
        <f>vlin(W$6,$B$10:W$10,$B13)</f>
        <v>557.856725251308</v>
      </c>
      <c r="X14" s="5">
        <f>vlin(X$6,$B$10:X$10,$B13)</f>
        <v>569.2415563788858</v>
      </c>
      <c r="Y14" s="5">
        <f>vlin(Y$6,$B$10:Y$10,$B13)</f>
        <v>580.858730998863</v>
      </c>
      <c r="Z14" s="5">
        <f>vlin(Z$6,$B$10:Z$10,$B13)</f>
        <v>592.7129908151663</v>
      </c>
      <c r="AA14" s="5">
        <f>vlin(AA$6,$B$10:AA$10,$B13)</f>
        <v>604.8091743011903</v>
      </c>
      <c r="AB14" s="5">
        <f>vlin(AB$6,$B$10:AB$10,$B13)</f>
        <v>617.1522186746838</v>
      </c>
      <c r="AC14" s="5">
        <f>vlin(AC$6,$B$10:AC$10,$B13)</f>
        <v>629.7471619129429</v>
      </c>
      <c r="AD14" s="5">
        <f>vlin(AD$6,$B$10:AD$10,$B13)</f>
        <v>642.5991448091253</v>
      </c>
      <c r="AE14" s="5">
        <f>vlin(AE$6,$B$10:AE$10,$B13)</f>
        <v>655.713413070536</v>
      </c>
      <c r="AF14" s="5">
        <f>vlin(AF$6,$B$10:AF$10,$B13)</f>
        <v>669.0953194597307</v>
      </c>
      <c r="AG14" s="5">
        <f>vlin(AG$6,$B$10:AG$10,$B13)</f>
        <v>682.7503259793172</v>
      </c>
      <c r="AH14" s="5">
        <f>vlin(AH$6,$B$10:AH$10,$B13)</f>
        <v>696.6840061013439</v>
      </c>
      <c r="AI14" s="5">
        <f>vlin(AI$6,$B$10:AI$10,$B13)</f>
        <v>710.9020470421876</v>
      </c>
      <c r="AJ14" s="5">
        <f>vlin(AJ$6,$B$10:AJ$10,$B13)</f>
        <v>725.4102520838651</v>
      </c>
      <c r="AK14" s="5">
        <f>vlin(AK$6,$B$10:AK$10,$B13)</f>
        <v>740.2145429427195</v>
      </c>
      <c r="AL14" s="5">
        <f>vlin(AL$6,$B$10:AL$10,$B13)</f>
        <v>755.3209621864485</v>
      </c>
      <c r="AM14" s="5">
        <f>vlin(AM$6,$B$10:AM$10,$B13)</f>
        <v>770.7356757004577</v>
      </c>
      <c r="AN14" s="5">
        <f>vlin(AN$6,$B$10:AN$10,$B13)</f>
        <v>786.4649752045486</v>
      </c>
      <c r="AO14" s="5">
        <f>vlin(AO$6,$B$10:AO$10,$B13)</f>
        <v>802.515280820968</v>
      </c>
      <c r="AQ14" s="22">
        <f>B13/$B$4*AO$10*$B$4*prolin(B13,$K$3)</f>
        <v>802.5152808209682</v>
      </c>
      <c r="AR14" s="27">
        <f>AQ14*(1+$K$3)^(AO$6-1)</f>
        <v>364.9810049374653</v>
      </c>
    </row>
    <row r="15" spans="1:44" ht="11.25">
      <c r="A15" s="2" t="s">
        <v>24</v>
      </c>
      <c r="B15" s="5">
        <f>B14-B16</f>
        <v>46.666666666666664</v>
      </c>
      <c r="C15" s="5">
        <f aca="true" t="shared" si="4" ref="C15:AO15">C14-C16</f>
        <v>90.95238095238095</v>
      </c>
      <c r="D15" s="5">
        <f t="shared" si="4"/>
        <v>132.8085519922255</v>
      </c>
      <c r="E15" s="5">
        <f t="shared" si="4"/>
        <v>172.18559727097838</v>
      </c>
      <c r="F15" s="5">
        <f t="shared" si="4"/>
        <v>209.0329223853521</v>
      </c>
      <c r="G15" s="5">
        <f t="shared" si="4"/>
        <v>243.29890039321643</v>
      </c>
      <c r="H15" s="5">
        <f t="shared" si="4"/>
        <v>274.9308507413773</v>
      </c>
      <c r="I15" s="5">
        <f t="shared" si="4"/>
        <v>303.87501776331015</v>
      </c>
      <c r="J15" s="5">
        <f t="shared" si="4"/>
        <v>330.07654873807166</v>
      </c>
      <c r="K15" s="5">
        <f t="shared" si="4"/>
        <v>353.47947150143364</v>
      </c>
      <c r="L15" s="5">
        <f t="shared" si="4"/>
        <v>374.0266716001024</v>
      </c>
      <c r="M15" s="5">
        <f t="shared" si="4"/>
        <v>391.65986897969634</v>
      </c>
      <c r="N15" s="5">
        <f t="shared" si="4"/>
        <v>406.3195941969691</v>
      </c>
      <c r="O15" s="5">
        <f t="shared" si="4"/>
        <v>417.94516414656704</v>
      </c>
      <c r="P15" s="5">
        <f t="shared" si="4"/>
        <v>426.47465729241543</v>
      </c>
      <c r="Q15" s="5">
        <f t="shared" si="4"/>
        <v>435.17822172695446</v>
      </c>
      <c r="R15" s="5">
        <f t="shared" si="4"/>
        <v>444.05940992546374</v>
      </c>
      <c r="S15" s="5">
        <f t="shared" si="4"/>
        <v>453.12184686271814</v>
      </c>
      <c r="T15" s="5">
        <f t="shared" si="4"/>
        <v>462.3692314925696</v>
      </c>
      <c r="U15" s="5">
        <f t="shared" si="4"/>
        <v>471.805338257724</v>
      </c>
      <c r="V15" s="5">
        <f t="shared" si="4"/>
        <v>481.43401863033074</v>
      </c>
      <c r="W15" s="5">
        <f t="shared" si="4"/>
        <v>491.2592026840109</v>
      </c>
      <c r="X15" s="5">
        <f t="shared" si="4"/>
        <v>501.28490069797033</v>
      </c>
      <c r="Y15" s="5">
        <f t="shared" si="4"/>
        <v>511.51520479384726</v>
      </c>
      <c r="Z15" s="5">
        <f t="shared" si="4"/>
        <v>521.9542906059665</v>
      </c>
      <c r="AA15" s="5">
        <f t="shared" si="4"/>
        <v>532.6064189856803</v>
      </c>
      <c r="AB15" s="5">
        <f t="shared" si="4"/>
        <v>543.4759377404899</v>
      </c>
      <c r="AC15" s="5">
        <f t="shared" si="4"/>
        <v>554.5672834086636</v>
      </c>
      <c r="AD15" s="5">
        <f t="shared" si="4"/>
        <v>565.8849830700647</v>
      </c>
      <c r="AE15" s="5">
        <f t="shared" si="4"/>
        <v>577.4336561939435</v>
      </c>
      <c r="AF15" s="5">
        <f t="shared" si="4"/>
        <v>589.2180165244322</v>
      </c>
      <c r="AG15" s="5">
        <f t="shared" si="4"/>
        <v>601.2428740045227</v>
      </c>
      <c r="AH15" s="5">
        <f t="shared" si="4"/>
        <v>613.5131367393088</v>
      </c>
      <c r="AI15" s="5">
        <f t="shared" si="4"/>
        <v>626.0338129992947</v>
      </c>
      <c r="AJ15" s="5">
        <f t="shared" si="4"/>
        <v>638.8100132645866</v>
      </c>
      <c r="AK15" s="5">
        <f t="shared" si="4"/>
        <v>651.8469523108026</v>
      </c>
      <c r="AL15" s="5">
        <f t="shared" si="4"/>
        <v>665.1499513375537</v>
      </c>
      <c r="AM15" s="5">
        <f t="shared" si="4"/>
        <v>678.724440140361</v>
      </c>
      <c r="AN15" s="5">
        <f t="shared" si="4"/>
        <v>692.575959326899</v>
      </c>
      <c r="AO15" s="5">
        <f t="shared" si="4"/>
        <v>706.7101625784683</v>
      </c>
      <c r="AQ15" s="22"/>
      <c r="AR15" s="27"/>
    </row>
    <row r="16" spans="1:44" ht="11.25">
      <c r="A16" s="2" t="s">
        <v>2</v>
      </c>
      <c r="B16" s="5">
        <f>DepLin(B$6,$B$10:B$10,$B13)</f>
        <v>3.3333333333333326</v>
      </c>
      <c r="C16" s="5">
        <f>DepLin(C$6,$B$10:C$10,$B13)</f>
        <v>6.734693877551019</v>
      </c>
      <c r="D16" s="5">
        <f>DepLin(D$6,$B$10:D$10,$B13)</f>
        <v>10.20546994307927</v>
      </c>
      <c r="E16" s="5">
        <f>DepLin(E$6,$B$10:E$10,$B13)</f>
        <v>13.747078173210145</v>
      </c>
      <c r="F16" s="5">
        <f>DepLin(F$6,$B$10:F$10,$B13)</f>
        <v>17.360964122323278</v>
      </c>
      <c r="G16" s="5">
        <f>DepLin(G$6,$B$10:G$10,$B13)</f>
        <v>21.048602845908107</v>
      </c>
      <c r="H16" s="5">
        <f>DepLin(H$6,$B$10:H$10,$B13)</f>
        <v>24.81149950262732</v>
      </c>
      <c r="I16" s="5">
        <f>DepLin(I$6,$B$10:I$10,$B13)</f>
        <v>28.65118996866733</v>
      </c>
      <c r="J16" s="5">
        <f>DepLin(J$6,$B$10:J$10,$B13)</f>
        <v>32.56924146462653</v>
      </c>
      <c r="K16" s="5">
        <f>DepLin(K$6,$B$10:K$10,$B13)</f>
        <v>36.56725319519714</v>
      </c>
      <c r="L16" s="5">
        <f>DepLin(L$6,$B$10:L$10,$B13)</f>
        <v>40.64685700190184</v>
      </c>
      <c r="M16" s="5">
        <f>DepLin(M$6,$B$10:M$10,$B13)</f>
        <v>44.80971802915155</v>
      </c>
      <c r="N16" s="5">
        <f>DepLin(N$6,$B$10:N$10,$B13)</f>
        <v>49.05753540389614</v>
      </c>
      <c r="O16" s="5">
        <f>DepLin(O$6,$B$10:O$10,$B13)</f>
        <v>53.392042929145724</v>
      </c>
      <c r="P16" s="5">
        <f>DepLin(P$6,$B$10:P$10,$B13)</f>
        <v>57.815009791645295</v>
      </c>
      <c r="Q16" s="5">
        <f>DepLin(Q$6,$B$10:Q$10,$B13)</f>
        <v>58.99490795065847</v>
      </c>
      <c r="R16" s="5">
        <f>DepLin(R$6,$B$10:R$10,$B13)</f>
        <v>60.19888566393722</v>
      </c>
      <c r="S16" s="5">
        <f>DepLin(S$6,$B$10:S$10,$B13)</f>
        <v>61.42743435095635</v>
      </c>
      <c r="T16" s="5">
        <f>DepLin(T$6,$B$10:T$10,$B13)</f>
        <v>62.681055460159534</v>
      </c>
      <c r="U16" s="5">
        <f>DepLin(U$6,$B$10:U$10,$B13)</f>
        <v>63.960260673632185</v>
      </c>
      <c r="V16" s="5">
        <f>DepLin(V$6,$B$10:V$10,$B13)</f>
        <v>65.2655721159512</v>
      </c>
      <c r="W16" s="5">
        <f>DepLin(W$6,$B$10:W$10,$B13)</f>
        <v>66.59752256729715</v>
      </c>
      <c r="X16" s="5">
        <f>DepLin(X$6,$B$10:X$10,$B13)</f>
        <v>67.95665568091546</v>
      </c>
      <c r="Y16" s="5">
        <f>DepLin(Y$6,$B$10:Y$10,$B13)</f>
        <v>69.34352620501579</v>
      </c>
      <c r="Z16" s="5">
        <f>DepLin(Z$6,$B$10:Z$10,$B13)</f>
        <v>70.75870020919977</v>
      </c>
      <c r="AA16" s="5">
        <f>DepLin(AA$6,$B$10:AA$10,$B13)</f>
        <v>72.20275531550998</v>
      </c>
      <c r="AB16" s="5">
        <f>DepLin(AB$6,$B$10:AB$10,$B13)</f>
        <v>73.67628093419384</v>
      </c>
      <c r="AC16" s="5">
        <f>DepLin(AC$6,$B$10:AC$10,$B13)</f>
        <v>75.17987850427943</v>
      </c>
      <c r="AD16" s="5">
        <f>DepLin(AD$6,$B$10:AD$10,$B13)</f>
        <v>76.71416173906066</v>
      </c>
      <c r="AE16" s="5">
        <f>DepLin(AE$6,$B$10:AE$10,$B13)</f>
        <v>78.2797568765925</v>
      </c>
      <c r="AF16" s="5">
        <f>DepLin(AF$6,$B$10:AF$10,$B13)</f>
        <v>79.87730293529847</v>
      </c>
      <c r="AG16" s="5">
        <f>DepLin(AG$6,$B$10:AG$10,$B13)</f>
        <v>81.50745197479438</v>
      </c>
      <c r="AH16" s="5">
        <f>DepLin(AH$6,$B$10:AH$10,$B13)</f>
        <v>83.17086936203508</v>
      </c>
      <c r="AI16" s="5">
        <f>DepLin(AI$6,$B$10:AI$10,$B13)</f>
        <v>84.86823404289292</v>
      </c>
      <c r="AJ16" s="5">
        <f>DepLin(AJ$6,$B$10:AJ$10,$B13)</f>
        <v>86.6002388192785</v>
      </c>
      <c r="AK16" s="5">
        <f>DepLin(AK$6,$B$10:AK$10,$B13)</f>
        <v>88.36759063191685</v>
      </c>
      <c r="AL16" s="5">
        <f>DepLin(AL$6,$B$10:AL$10,$B13)</f>
        <v>90.17101084889475</v>
      </c>
      <c r="AM16" s="5">
        <f>DepLin(AM$6,$B$10:AM$10,$B13)</f>
        <v>92.01123556009668</v>
      </c>
      <c r="AN16" s="5">
        <f>DepLin(AN$6,$B$10:AN$10,$B13)</f>
        <v>93.88901587764968</v>
      </c>
      <c r="AO16" s="5">
        <f>DepLin(AO$6,$B$10:AO$10,$B13)</f>
        <v>95.80511824249967</v>
      </c>
      <c r="AQ16" s="22">
        <f>B13/$B$4*AO$10*$B$4*(1+$K$3*B13*prolin(B13,$K$3))/(1+$K$3)/B13</f>
        <v>95.80511824249972</v>
      </c>
      <c r="AR16" s="27">
        <f>AQ16*(1+$K$3)^(AO$6-1)</f>
        <v>43.57181622576602</v>
      </c>
    </row>
    <row r="17" spans="1:44" ht="11.25">
      <c r="A17" s="2" t="s">
        <v>25</v>
      </c>
      <c r="B17" s="6">
        <f aca="true" t="shared" si="5" ref="B17:AO17">($K$2*B14+B16)/(1+$K$2)</f>
        <v>7.575757575757574</v>
      </c>
      <c r="C17" s="6">
        <f t="shared" si="5"/>
        <v>15.003092145949287</v>
      </c>
      <c r="D17" s="6">
        <f t="shared" si="5"/>
        <v>22.278974669645223</v>
      </c>
      <c r="E17" s="6">
        <f t="shared" si="5"/>
        <v>29.400314288753634</v>
      </c>
      <c r="F17" s="6">
        <f t="shared" si="5"/>
        <v>36.3639570664462</v>
      </c>
      <c r="G17" s="6">
        <f t="shared" si="5"/>
        <v>43.16668469983687</v>
      </c>
      <c r="H17" s="6">
        <f t="shared" si="5"/>
        <v>49.80521320638889</v>
      </c>
      <c r="I17" s="6">
        <f t="shared" si="5"/>
        <v>56.27619158351371</v>
      </c>
      <c r="J17" s="6">
        <f t="shared" si="5"/>
        <v>62.57620044081486</v>
      </c>
      <c r="K17" s="6">
        <f t="shared" si="5"/>
        <v>68.70175060441838</v>
      </c>
      <c r="L17" s="6">
        <f t="shared" si="5"/>
        <v>74.64928169282024</v>
      </c>
      <c r="M17" s="6">
        <f t="shared" si="5"/>
        <v>80.4151606636694</v>
      </c>
      <c r="N17" s="6">
        <f t="shared" si="5"/>
        <v>85.99568033089332</v>
      </c>
      <c r="O17" s="6">
        <f t="shared" si="5"/>
        <v>91.3870578515609</v>
      </c>
      <c r="P17" s="6">
        <f t="shared" si="5"/>
        <v>96.58543318186487</v>
      </c>
      <c r="Q17" s="6">
        <f t="shared" si="5"/>
        <v>98.55656447129068</v>
      </c>
      <c r="R17" s="6">
        <f t="shared" si="5"/>
        <v>100.56792292988845</v>
      </c>
      <c r="S17" s="6">
        <f t="shared" si="5"/>
        <v>102.62032952029435</v>
      </c>
      <c r="T17" s="6">
        <f t="shared" si="5"/>
        <v>104.71462195948403</v>
      </c>
      <c r="U17" s="6">
        <f t="shared" si="5"/>
        <v>106.851655060698</v>
      </c>
      <c r="V17" s="6">
        <f t="shared" si="5"/>
        <v>109.0323010823449</v>
      </c>
      <c r="W17" s="6">
        <f t="shared" si="5"/>
        <v>111.25745008402541</v>
      </c>
      <c r="X17" s="6">
        <f t="shared" si="5"/>
        <v>113.52801028982184</v>
      </c>
      <c r="Y17" s="6">
        <f t="shared" si="5"/>
        <v>115.84490845900189</v>
      </c>
      <c r="Z17" s="6">
        <f t="shared" si="5"/>
        <v>118.20909026428762</v>
      </c>
      <c r="AA17" s="6">
        <f t="shared" si="5"/>
        <v>120.62152067784453</v>
      </c>
      <c r="AB17" s="6">
        <f t="shared" si="5"/>
        <v>123.08318436514747</v>
      </c>
      <c r="AC17" s="6">
        <f t="shared" si="5"/>
        <v>125.5950860868852</v>
      </c>
      <c r="AD17" s="6">
        <f t="shared" si="5"/>
        <v>128.15825110906653</v>
      </c>
      <c r="AE17" s="6">
        <f t="shared" si="5"/>
        <v>130.77372562149645</v>
      </c>
      <c r="AF17" s="6">
        <f t="shared" si="5"/>
        <v>133.4425771647923</v>
      </c>
      <c r="AG17" s="6">
        <f t="shared" si="5"/>
        <v>136.16589506611464</v>
      </c>
      <c r="AH17" s="6">
        <f t="shared" si="5"/>
        <v>138.9447908837904</v>
      </c>
      <c r="AI17" s="6">
        <f t="shared" si="5"/>
        <v>141.78039886101064</v>
      </c>
      <c r="AJ17" s="6">
        <f t="shared" si="5"/>
        <v>144.67387638878637</v>
      </c>
      <c r="AK17" s="6">
        <f t="shared" si="5"/>
        <v>147.62640447835344</v>
      </c>
      <c r="AL17" s="6">
        <f t="shared" si="5"/>
        <v>150.6391882432178</v>
      </c>
      <c r="AM17" s="6">
        <f t="shared" si="5"/>
        <v>153.7134573910386</v>
      </c>
      <c r="AN17" s="6">
        <f t="shared" si="5"/>
        <v>156.8504667255496</v>
      </c>
      <c r="AO17" s="6">
        <f t="shared" si="5"/>
        <v>160.05149665872406</v>
      </c>
      <c r="AQ17" s="22">
        <f>$B13/$B$4*AO$10*$B$4*(1+$K$4*$B13*prolin($B13,$K$3))/(1+$K$4)/$B13</f>
        <v>160.05149665872418</v>
      </c>
      <c r="AR17" s="27">
        <f>AQ17*(1+$K$3)^(AO$6-1)</f>
        <v>72.79083338137507</v>
      </c>
    </row>
    <row r="18" spans="1:41" ht="11.25">
      <c r="A18" s="12" t="s">
        <v>30</v>
      </c>
      <c r="B18" s="13">
        <f>B17</f>
        <v>7.575757575757574</v>
      </c>
      <c r="C18" s="14">
        <f aca="true" t="shared" si="6" ref="C18:AO18">B18+C17/(1+$K$2)^(C$6-1)</f>
        <v>21.214932253893288</v>
      </c>
      <c r="D18" s="14">
        <f t="shared" si="6"/>
        <v>39.62730801393066</v>
      </c>
      <c r="E18" s="14">
        <f t="shared" si="6"/>
        <v>61.7161992902294</v>
      </c>
      <c r="F18" s="14">
        <f t="shared" si="6"/>
        <v>86.55327125692989</v>
      </c>
      <c r="G18" s="14">
        <f t="shared" si="6"/>
        <v>113.35638623282998</v>
      </c>
      <c r="H18" s="14">
        <f t="shared" si="6"/>
        <v>141.4701306686066</v>
      </c>
      <c r="I18" s="14">
        <f t="shared" si="6"/>
        <v>170.34871524279322</v>
      </c>
      <c r="J18" s="14">
        <f t="shared" si="6"/>
        <v>199.5409745739169</v>
      </c>
      <c r="K18" s="14">
        <f t="shared" si="6"/>
        <v>228.67722338327115</v>
      </c>
      <c r="L18" s="14">
        <f t="shared" si="6"/>
        <v>257.45775300067277</v>
      </c>
      <c r="M18" s="14">
        <f t="shared" si="6"/>
        <v>285.64277623910493</v>
      </c>
      <c r="N18" s="14">
        <f t="shared" si="6"/>
        <v>313.0436501824959</v>
      </c>
      <c r="O18" s="14">
        <f t="shared" si="6"/>
        <v>339.5152256110291</v>
      </c>
      <c r="P18" s="14">
        <f t="shared" si="6"/>
        <v>364.94918887850565</v>
      </c>
      <c r="Q18" s="14">
        <f t="shared" si="6"/>
        <v>388.54284682607204</v>
      </c>
      <c r="R18" s="14">
        <f t="shared" si="6"/>
        <v>410.42935698151393</v>
      </c>
      <c r="S18" s="14">
        <f t="shared" si="6"/>
        <v>430.7322420978793</v>
      </c>
      <c r="T18" s="14">
        <f t="shared" si="6"/>
        <v>449.56608728931286</v>
      </c>
      <c r="U18" s="14">
        <f t="shared" si="6"/>
        <v>467.03718672478</v>
      </c>
      <c r="V18" s="14">
        <f t="shared" si="6"/>
        <v>483.2441435294805</v>
      </c>
      <c r="W18" s="14">
        <f t="shared" si="6"/>
        <v>498.27842627966646</v>
      </c>
      <c r="X18" s="14">
        <f t="shared" si="6"/>
        <v>512.2248852316015</v>
      </c>
      <c r="Y18" s="14">
        <f t="shared" si="6"/>
        <v>525.1622311981462</v>
      </c>
      <c r="Z18" s="14">
        <f t="shared" si="6"/>
        <v>537.1634797756458</v>
      </c>
      <c r="AA18" s="14">
        <f t="shared" si="6"/>
        <v>548.2963634282428</v>
      </c>
      <c r="AB18" s="14">
        <f t="shared" si="6"/>
        <v>558.6237137553272</v>
      </c>
      <c r="AC18" s="14">
        <f t="shared" si="6"/>
        <v>568.2038160995614</v>
      </c>
      <c r="AD18" s="14">
        <f t="shared" si="6"/>
        <v>577.0907384968102</v>
      </c>
      <c r="AE18" s="14">
        <f t="shared" si="6"/>
        <v>585.3346368244993</v>
      </c>
      <c r="AF18" s="14">
        <f t="shared" si="6"/>
        <v>592.982037870593</v>
      </c>
      <c r="AG18" s="14">
        <f t="shared" si="6"/>
        <v>600.0761019207727</v>
      </c>
      <c r="AH18" s="14">
        <f t="shared" si="6"/>
        <v>606.6568663458002</v>
      </c>
      <c r="AI18" s="14">
        <f t="shared" si="6"/>
        <v>612.761471563822</v>
      </c>
      <c r="AJ18" s="14">
        <f t="shared" si="6"/>
        <v>618.4243706528961</v>
      </c>
      <c r="AK18" s="14">
        <f t="shared" si="6"/>
        <v>623.6775237967496</v>
      </c>
      <c r="AL18" s="14">
        <f t="shared" si="6"/>
        <v>628.5505786611777</v>
      </c>
      <c r="AM18" s="14">
        <f t="shared" si="6"/>
        <v>633.0710377190887</v>
      </c>
      <c r="AN18" s="14">
        <f t="shared" si="6"/>
        <v>637.2644134685424</v>
      </c>
      <c r="AO18" s="14">
        <f t="shared" si="6"/>
        <v>641.1543724197982</v>
      </c>
    </row>
    <row r="19" ht="11.25">
      <c r="A19" s="1"/>
    </row>
    <row r="20" spans="1:3" ht="11.25">
      <c r="A20" s="1" t="s">
        <v>31</v>
      </c>
      <c r="B20" s="2">
        <f>B4</f>
        <v>20</v>
      </c>
      <c r="C20" s="2" t="s">
        <v>11</v>
      </c>
    </row>
    <row r="21" spans="1:44" ht="11.25">
      <c r="A21" s="2" t="s">
        <v>23</v>
      </c>
      <c r="B21" s="5">
        <f>vlin(B$6,$B$10:B$10,$B20)</f>
        <v>50</v>
      </c>
      <c r="C21" s="5">
        <f>vlin(C$6,$B$10:C$10,$B20)</f>
        <v>98.5204081632653</v>
      </c>
      <c r="D21" s="5">
        <f>vlin(D$6,$B$10:D$10,$B20)</f>
        <v>145.53102873802584</v>
      </c>
      <c r="E21" s="5">
        <f>vlin(E$6,$B$10:E$10,$B20)</f>
        <v>191.0010497326794</v>
      </c>
      <c r="F21" s="5">
        <f>vlin(F$6,$B$10:F$10,$B20)</f>
        <v>234.8990303394688</v>
      </c>
      <c r="G21" s="5">
        <f>vlin(G$6,$B$10:G$10,$B20)</f>
        <v>277.1928881014988</v>
      </c>
      <c r="H21" s="5">
        <f>vlin(H$6,$B$10:H$10,$B20)</f>
        <v>317.8498858178559</v>
      </c>
      <c r="I21" s="5">
        <f>vlin(I$6,$B$10:I$10,$B20)</f>
        <v>356.8366181814856</v>
      </c>
      <c r="J21" s="5">
        <f>vlin(J$6,$B$10:J$10,$B20)</f>
        <v>394.11899814437317</v>
      </c>
      <c r="K21" s="5">
        <f>vlin(K$6,$B$10:K$10,$B20)</f>
        <v>429.66224300446237</v>
      </c>
      <c r="L21" s="5">
        <f>vlin(L$6,$B$10:L$10,$B20)</f>
        <v>463.43086020863507</v>
      </c>
      <c r="M21" s="5">
        <f>vlin(M$6,$B$10:M$10,$B20)</f>
        <v>495.3886328659542</v>
      </c>
      <c r="N21" s="5">
        <f>vlin(N$6,$B$10:N$10,$B20)</f>
        <v>525.4986049652593</v>
      </c>
      <c r="O21" s="5">
        <f>vlin(O$6,$B$10:O$10,$B20)</f>
        <v>553.7230662910811</v>
      </c>
      <c r="P21" s="5">
        <f>vlin(P$6,$B$10:P$10,$B20)</f>
        <v>580.0235370317155</v>
      </c>
      <c r="Q21" s="5">
        <f>vlin(Q$6,$B$10:Q$10,$B20)</f>
        <v>604.3607520731789</v>
      </c>
      <c r="R21" s="5">
        <f>vlin(R$6,$B$10:R$10,$B20)</f>
        <v>626.6946449726315</v>
      </c>
      <c r="S21" s="5">
        <f>vlin(S$6,$B$10:S$10,$B20)</f>
        <v>646.9843316047261</v>
      </c>
      <c r="T21" s="5">
        <f>vlin(T$6,$B$10:T$10,$B20)</f>
        <v>665.1880934742103</v>
      </c>
      <c r="U21" s="19">
        <f>vlin(U$6,$B$10:U$10,$B20)</f>
        <v>681.2633606879698</v>
      </c>
      <c r="V21" s="5">
        <f>vlin(V$6,$B$10:V$10,$B20)</f>
        <v>695.166694579561</v>
      </c>
      <c r="W21" s="5">
        <f>vlin(W$6,$B$10:W$10,$B20)</f>
        <v>709.3537699791439</v>
      </c>
      <c r="X21" s="5">
        <f>vlin(X$6,$B$10:X$10,$B20)</f>
        <v>723.8303775297386</v>
      </c>
      <c r="Y21" s="5">
        <f>vlin(Y$6,$B$10:Y$10,$B20)</f>
        <v>738.6024260507537</v>
      </c>
      <c r="Z21" s="5">
        <f>vlin(Z$6,$B$10:Z$10,$B20)</f>
        <v>753.6759449497488</v>
      </c>
      <c r="AA21" s="5">
        <f>vlin(AA$6,$B$10:AA$10,$B20)</f>
        <v>769.0570866834171</v>
      </c>
      <c r="AB21" s="5">
        <f>vlin(AB$6,$B$10:AB$10,$B20)</f>
        <v>784.7521292687932</v>
      </c>
      <c r="AC21" s="5">
        <f>vlin(AC$6,$B$10:AC$10,$B20)</f>
        <v>800.7674788457073</v>
      </c>
      <c r="AD21" s="5">
        <f>vlin(AD$6,$B$10:AD$10,$B20)</f>
        <v>817.1096722915379</v>
      </c>
      <c r="AE21" s="5">
        <f>vlin(AE$6,$B$10:AE$10,$B20)</f>
        <v>833.7853798893244</v>
      </c>
      <c r="AF21" s="5">
        <f>vlin(AF$6,$B$10:AF$10,$B20)</f>
        <v>850.8014080503312</v>
      </c>
      <c r="AG21" s="5">
        <f>vlin(AG$6,$B$10:AG$10,$B20)</f>
        <v>868.1647020921747</v>
      </c>
      <c r="AH21" s="5">
        <f>vlin(AH$6,$B$10:AH$10,$B20)</f>
        <v>885.8823490736477</v>
      </c>
      <c r="AI21" s="5">
        <f>vlin(AI$6,$B$10:AI$10,$B20)</f>
        <v>903.9615806873956</v>
      </c>
      <c r="AJ21" s="5">
        <f>vlin(AJ$6,$B$10:AJ$10,$B20)</f>
        <v>922.4097762116284</v>
      </c>
      <c r="AK21" s="5">
        <f>vlin(AK$6,$B$10:AK$10,$B20)</f>
        <v>941.2344655220695</v>
      </c>
      <c r="AL21" s="5">
        <f>vlin(AL$6,$B$10:AL$10,$B20)</f>
        <v>960.4433321653771</v>
      </c>
      <c r="AM21" s="5">
        <f>vlin(AM$6,$B$10:AM$10,$B20)</f>
        <v>980.0442164952831</v>
      </c>
      <c r="AN21" s="5">
        <f>vlin(AN$6,$B$10:AN$10,$B20)</f>
        <v>1000.0451188727378</v>
      </c>
      <c r="AO21" s="5">
        <f>vlin(AO$6,$B$10:AO$10,$B20)</f>
        <v>1020.4542029313651</v>
      </c>
      <c r="AQ21" s="22">
        <f>B20/$B$4*AO$10*$B$4*prolin(B20,$K$3)</f>
        <v>1020.4542029313652</v>
      </c>
      <c r="AR21" s="27">
        <f>AQ21*(1+$K$3)^(AO$6-1)</f>
        <v>464.09882699995376</v>
      </c>
    </row>
    <row r="22" spans="1:44" ht="11.25">
      <c r="A22" s="2" t="s">
        <v>24</v>
      </c>
      <c r="B22" s="5">
        <f aca="true" t="shared" si="7" ref="B22:AO22">B21-B23</f>
        <v>47.5</v>
      </c>
      <c r="C22" s="5">
        <f t="shared" si="7"/>
        <v>93.46938775510203</v>
      </c>
      <c r="D22" s="5">
        <f t="shared" si="7"/>
        <v>137.8769262807164</v>
      </c>
      <c r="E22" s="5">
        <f t="shared" si="7"/>
        <v>180.6907411027718</v>
      </c>
      <c r="F22" s="5">
        <f t="shared" si="7"/>
        <v>221.87830724772633</v>
      </c>
      <c r="G22" s="5">
        <f t="shared" si="7"/>
        <v>261.4064359670677</v>
      </c>
      <c r="H22" s="5">
        <f t="shared" si="7"/>
        <v>299.24126119088544</v>
      </c>
      <c r="I22" s="5">
        <f t="shared" si="7"/>
        <v>335.3482257049851</v>
      </c>
      <c r="J22" s="5">
        <f t="shared" si="7"/>
        <v>369.6920670459033</v>
      </c>
      <c r="K22" s="5">
        <f t="shared" si="7"/>
        <v>402.2368031080645</v>
      </c>
      <c r="L22" s="5">
        <f t="shared" si="7"/>
        <v>432.9457174572087</v>
      </c>
      <c r="M22" s="5">
        <f t="shared" si="7"/>
        <v>461.78134434409054</v>
      </c>
      <c r="N22" s="5">
        <f t="shared" si="7"/>
        <v>488.70545341233725</v>
      </c>
      <c r="O22" s="5">
        <f t="shared" si="7"/>
        <v>513.6790340942218</v>
      </c>
      <c r="P22" s="5">
        <f t="shared" si="7"/>
        <v>536.6622796879815</v>
      </c>
      <c r="Q22" s="5">
        <f t="shared" si="7"/>
        <v>557.614571110185</v>
      </c>
      <c r="R22" s="5">
        <f t="shared" si="7"/>
        <v>576.4944603165153</v>
      </c>
      <c r="S22" s="5">
        <f t="shared" si="7"/>
        <v>593.2596533841994</v>
      </c>
      <c r="T22" s="5">
        <f t="shared" si="7"/>
        <v>607.866993249183</v>
      </c>
      <c r="U22" s="5">
        <f t="shared" si="7"/>
        <v>620.2724420910032</v>
      </c>
      <c r="V22" s="5">
        <f t="shared" si="7"/>
        <v>632.9310633581665</v>
      </c>
      <c r="W22" s="5">
        <f t="shared" si="7"/>
        <v>645.8480238348637</v>
      </c>
      <c r="X22" s="5">
        <f t="shared" si="7"/>
        <v>659.028595749861</v>
      </c>
      <c r="Y22" s="5">
        <f t="shared" si="7"/>
        <v>672.4781589284296</v>
      </c>
      <c r="Z22" s="5">
        <f t="shared" si="7"/>
        <v>686.2022029881936</v>
      </c>
      <c r="AA22" s="5">
        <f t="shared" si="7"/>
        <v>700.2063295797893</v>
      </c>
      <c r="AB22" s="5">
        <f t="shared" si="7"/>
        <v>714.4962546732546</v>
      </c>
      <c r="AC22" s="5">
        <f t="shared" si="7"/>
        <v>729.0778108910761</v>
      </c>
      <c r="AD22" s="5">
        <f t="shared" si="7"/>
        <v>743.956949888853</v>
      </c>
      <c r="AE22" s="5">
        <f t="shared" si="7"/>
        <v>759.139744784544</v>
      </c>
      <c r="AF22" s="5">
        <f t="shared" si="7"/>
        <v>774.63239263729</v>
      </c>
      <c r="AG22" s="5">
        <f t="shared" si="7"/>
        <v>790.4412169768265</v>
      </c>
      <c r="AH22" s="5">
        <f t="shared" si="7"/>
        <v>806.5726703845168</v>
      </c>
      <c r="AI22" s="5">
        <f t="shared" si="7"/>
        <v>823.0333371270578</v>
      </c>
      <c r="AJ22" s="5">
        <f t="shared" si="7"/>
        <v>839.8299358439368</v>
      </c>
      <c r="AK22" s="5">
        <f t="shared" si="7"/>
        <v>856.9693222897313</v>
      </c>
      <c r="AL22" s="5">
        <f t="shared" si="7"/>
        <v>874.4584921323789</v>
      </c>
      <c r="AM22" s="5">
        <f t="shared" si="7"/>
        <v>892.3045838085502</v>
      </c>
      <c r="AN22" s="5">
        <f t="shared" si="7"/>
        <v>910.5148814372961</v>
      </c>
      <c r="AO22" s="5">
        <f t="shared" si="7"/>
        <v>929.0968177931592</v>
      </c>
      <c r="AQ22" s="22"/>
      <c r="AR22" s="27"/>
    </row>
    <row r="23" spans="1:44" ht="11.25">
      <c r="A23" s="2" t="s">
        <v>2</v>
      </c>
      <c r="B23" s="5">
        <f>DepLin(B$6,$B$10:B$10,$B20)</f>
        <v>2.500000000000002</v>
      </c>
      <c r="C23" s="5">
        <f>DepLin(C$6,$B$10:C$10,$B20)</f>
        <v>5.051020408163264</v>
      </c>
      <c r="D23" s="5">
        <f>DepLin(D$6,$B$10:D$10,$B20)</f>
        <v>7.654102457309456</v>
      </c>
      <c r="E23" s="5">
        <f>DepLin(E$6,$B$10:E$10,$B20)</f>
        <v>10.310308629907606</v>
      </c>
      <c r="F23" s="5">
        <f>DepLin(F$6,$B$10:F$10,$B20)</f>
        <v>13.020723091742456</v>
      </c>
      <c r="G23" s="5">
        <f>DepLin(G$6,$B$10:G$10,$B20)</f>
        <v>15.78645213443108</v>
      </c>
      <c r="H23" s="5">
        <f>DepLin(H$6,$B$10:H$10,$B20)</f>
        <v>18.608624626970485</v>
      </c>
      <c r="I23" s="5">
        <f>DepLin(I$6,$B$10:I$10,$B20)</f>
        <v>21.4883924765005</v>
      </c>
      <c r="J23" s="5">
        <f>DepLin(J$6,$B$10:J$10,$B20)</f>
        <v>24.426931098469893</v>
      </c>
      <c r="K23" s="5">
        <f>DepLin(K$6,$B$10:K$10,$B20)</f>
        <v>27.425439896397858</v>
      </c>
      <c r="L23" s="5">
        <f>DepLin(L$6,$B$10:L$10,$B20)</f>
        <v>30.485142751426388</v>
      </c>
      <c r="M23" s="5">
        <f>DepLin(M$6,$B$10:M$10,$B20)</f>
        <v>33.60728852186366</v>
      </c>
      <c r="N23" s="5">
        <f>DepLin(N$6,$B$10:N$10,$B20)</f>
        <v>36.793151552922104</v>
      </c>
      <c r="O23" s="5">
        <f>DepLin(O$6,$B$10:O$10,$B20)</f>
        <v>40.04403219685929</v>
      </c>
      <c r="P23" s="5">
        <f>DepLin(P$6,$B$10:P$10,$B20)</f>
        <v>43.361257343733975</v>
      </c>
      <c r="Q23" s="5">
        <f>DepLin(Q$6,$B$10:Q$10,$B20)</f>
        <v>46.74618096299385</v>
      </c>
      <c r="R23" s="5">
        <f>DepLin(R$6,$B$10:R$10,$B20)</f>
        <v>50.20018465611618</v>
      </c>
      <c r="S23" s="5">
        <f>DepLin(S$6,$B$10:S$10,$B20)</f>
        <v>53.724678220526705</v>
      </c>
      <c r="T23" s="5">
        <f>DepLin(T$6,$B$10:T$10,$B20)</f>
        <v>57.321100225027266</v>
      </c>
      <c r="U23" s="5">
        <f>DepLin(U$6,$B$10:U$10,$B20)</f>
        <v>60.99091859696659</v>
      </c>
      <c r="V23" s="5">
        <f>DepLin(V$6,$B$10:V$10,$B20)</f>
        <v>62.23563122139449</v>
      </c>
      <c r="W23" s="5">
        <f>DepLin(W$6,$B$10:W$10,$B20)</f>
        <v>63.50574614428008</v>
      </c>
      <c r="X23" s="5">
        <f>DepLin(X$6,$B$10:X$10,$B20)</f>
        <v>64.80178177987764</v>
      </c>
      <c r="Y23" s="5">
        <f>DepLin(Y$6,$B$10:Y$10,$B20)</f>
        <v>66.12426712232413</v>
      </c>
      <c r="Z23" s="5">
        <f>DepLin(Z$6,$B$10:Z$10,$B20)</f>
        <v>67.47374196155523</v>
      </c>
      <c r="AA23" s="5">
        <f>DepLin(AA$6,$B$10:AA$10,$B20)</f>
        <v>68.8507571036278</v>
      </c>
      <c r="AB23" s="5">
        <f>DepLin(AB$6,$B$10:AB$10,$B20)</f>
        <v>70.25587459553854</v>
      </c>
      <c r="AC23" s="5">
        <f>DepLin(AC$6,$B$10:AC$10,$B20)</f>
        <v>71.6896679546312</v>
      </c>
      <c r="AD23" s="5">
        <f>DepLin(AD$6,$B$10:AD$10,$B20)</f>
        <v>73.15272240268486</v>
      </c>
      <c r="AE23" s="5">
        <f>DepLin(AE$6,$B$10:AE$10,$B20)</f>
        <v>74.64563510478051</v>
      </c>
      <c r="AF23" s="5">
        <f>DepLin(AF$6,$B$10:AF$10,$B20)</f>
        <v>76.16901541304131</v>
      </c>
      <c r="AG23" s="5">
        <f>DepLin(AG$6,$B$10:AG$10,$B20)</f>
        <v>77.72348511534828</v>
      </c>
      <c r="AH23" s="5">
        <f>DepLin(AH$6,$B$10:AH$10,$B20)</f>
        <v>79.30967868913092</v>
      </c>
      <c r="AI23" s="5">
        <f>DepLin(AI$6,$B$10:AI$10,$B20)</f>
        <v>80.92824356033766</v>
      </c>
      <c r="AJ23" s="5">
        <f>DepLin(AJ$6,$B$10:AJ$10,$B20)</f>
        <v>82.57984036769152</v>
      </c>
      <c r="AK23" s="5">
        <f>DepLin(AK$6,$B$10:AK$10,$B20)</f>
        <v>84.26514323233827</v>
      </c>
      <c r="AL23" s="5">
        <f>DepLin(AL$6,$B$10:AL$10,$B20)</f>
        <v>85.98484003299824</v>
      </c>
      <c r="AM23" s="5">
        <f>DepLin(AM$6,$B$10:AM$10,$B20)</f>
        <v>87.73963268673292</v>
      </c>
      <c r="AN23" s="5">
        <f>DepLin(AN$6,$B$10:AN$10,$B20)</f>
        <v>89.53023743544172</v>
      </c>
      <c r="AO23" s="5">
        <f>DepLin(AO$6,$B$10:AO$10,$B20)</f>
        <v>91.35738513820588</v>
      </c>
      <c r="AQ23" s="22">
        <f>B20/$B$4*AO$10*$B$4*(1+$K$3*B20*prolin(B20,$K$3))/(1+$K$3)/B20</f>
        <v>91.35738513820588</v>
      </c>
      <c r="AR23" s="27">
        <f>AQ23*(1+$K$3)^(AO$6-1)</f>
        <v>41.549003530613184</v>
      </c>
    </row>
    <row r="24" spans="1:44" ht="11.25">
      <c r="A24" s="2" t="s">
        <v>25</v>
      </c>
      <c r="B24" s="6">
        <f aca="true" t="shared" si="8" ref="B24:AO24">($K$2*B21+B23)/(1+$K$2)</f>
        <v>6.818181818181819</v>
      </c>
      <c r="C24" s="6">
        <f t="shared" si="8"/>
        <v>13.548237476808904</v>
      </c>
      <c r="D24" s="6">
        <f t="shared" si="8"/>
        <v>20.188368482829127</v>
      </c>
      <c r="E24" s="6">
        <f t="shared" si="8"/>
        <v>26.736739639250498</v>
      </c>
      <c r="F24" s="6">
        <f t="shared" si="8"/>
        <v>33.19147829608121</v>
      </c>
      <c r="G24" s="6">
        <f t="shared" si="8"/>
        <v>39.55067358598269</v>
      </c>
      <c r="H24" s="6">
        <f t="shared" si="8"/>
        <v>45.8123756443237</v>
      </c>
      <c r="I24" s="6">
        <f t="shared" si="8"/>
        <v>51.97459481331733</v>
      </c>
      <c r="J24" s="6">
        <f t="shared" si="8"/>
        <v>58.03530082991564</v>
      </c>
      <c r="K24" s="6">
        <f t="shared" si="8"/>
        <v>63.992421997131</v>
      </c>
      <c r="L24" s="6">
        <f t="shared" si="8"/>
        <v>69.84384433844535</v>
      </c>
      <c r="M24" s="6">
        <f t="shared" si="8"/>
        <v>75.58741073496279</v>
      </c>
      <c r="N24" s="6">
        <f t="shared" si="8"/>
        <v>81.22092004495276</v>
      </c>
      <c r="O24" s="6">
        <f t="shared" si="8"/>
        <v>86.74212620542491</v>
      </c>
      <c r="P24" s="6">
        <f t="shared" si="8"/>
        <v>92.14873731536866</v>
      </c>
      <c r="Q24" s="6">
        <f t="shared" si="8"/>
        <v>97.4384147002834</v>
      </c>
      <c r="R24" s="6">
        <f t="shared" si="8"/>
        <v>102.60877195761756</v>
      </c>
      <c r="S24" s="6">
        <f t="shared" si="8"/>
        <v>107.65737398272665</v>
      </c>
      <c r="T24" s="6">
        <f t="shared" si="8"/>
        <v>112.58173597495298</v>
      </c>
      <c r="U24" s="6">
        <f t="shared" si="8"/>
        <v>117.37932242342141</v>
      </c>
      <c r="V24" s="6">
        <f t="shared" si="8"/>
        <v>119.77481879940962</v>
      </c>
      <c r="W24" s="6">
        <f t="shared" si="8"/>
        <v>122.21920285654042</v>
      </c>
      <c r="X24" s="6">
        <f t="shared" si="8"/>
        <v>124.71347230259228</v>
      </c>
      <c r="Y24" s="6">
        <f t="shared" si="8"/>
        <v>127.2586452067268</v>
      </c>
      <c r="Z24" s="6">
        <f t="shared" si="8"/>
        <v>129.85576041502736</v>
      </c>
      <c r="AA24" s="6">
        <f t="shared" si="8"/>
        <v>132.50587797451774</v>
      </c>
      <c r="AB24" s="6">
        <f t="shared" si="8"/>
        <v>135.2100795658344</v>
      </c>
      <c r="AC24" s="6">
        <f t="shared" si="8"/>
        <v>137.96946894472904</v>
      </c>
      <c r="AD24" s="6">
        <f t="shared" si="8"/>
        <v>140.7851723925806</v>
      </c>
      <c r="AE24" s="6">
        <f t="shared" si="8"/>
        <v>143.6583391761027</v>
      </c>
      <c r="AF24" s="6">
        <f t="shared" si="8"/>
        <v>146.5901420164313</v>
      </c>
      <c r="AG24" s="6">
        <f t="shared" si="8"/>
        <v>149.58177756778704</v>
      </c>
      <c r="AH24" s="6">
        <f t="shared" si="8"/>
        <v>152.63446690590516</v>
      </c>
      <c r="AI24" s="6">
        <f t="shared" si="8"/>
        <v>155.74945602643382</v>
      </c>
      <c r="AJ24" s="6">
        <f t="shared" si="8"/>
        <v>158.92801635350395</v>
      </c>
      <c r="AK24" s="6">
        <f t="shared" si="8"/>
        <v>162.17144525867747</v>
      </c>
      <c r="AL24" s="6">
        <f t="shared" si="8"/>
        <v>165.48106659048725</v>
      </c>
      <c r="AM24" s="6">
        <f t="shared" si="8"/>
        <v>168.85823121478293</v>
      </c>
      <c r="AN24" s="6">
        <f t="shared" si="8"/>
        <v>172.304317566105</v>
      </c>
      <c r="AO24" s="6">
        <f t="shared" si="8"/>
        <v>175.82073221031126</v>
      </c>
      <c r="AQ24" s="22">
        <f>$B20/$B$4*AO$10*$B$4*(1+$K$4*$B20*prolin($B20,$K$3))/(1+$K$4)/$B20</f>
        <v>175.82073221031135</v>
      </c>
      <c r="AR24" s="27">
        <f>AQ24*(1+$K$3)^(AO$6-1)</f>
        <v>79.96262384600782</v>
      </c>
    </row>
    <row r="25" spans="1:41" ht="11.25">
      <c r="A25" s="12" t="s">
        <v>30</v>
      </c>
      <c r="B25" s="13">
        <f>B24</f>
        <v>6.818181818181819</v>
      </c>
      <c r="C25" s="14">
        <f aca="true" t="shared" si="9" ref="C25:AO25">B25+C24/(1+$K$2)^(C$6-1)</f>
        <v>19.13476134255355</v>
      </c>
      <c r="D25" s="14">
        <f t="shared" si="9"/>
        <v>35.819363394478444</v>
      </c>
      <c r="E25" s="14">
        <f t="shared" si="9"/>
        <v>55.90707161329925</v>
      </c>
      <c r="F25" s="14">
        <f t="shared" si="9"/>
        <v>78.57729789298043</v>
      </c>
      <c r="G25" s="14">
        <f t="shared" si="9"/>
        <v>103.13515446386957</v>
      </c>
      <c r="H25" s="14">
        <f t="shared" si="9"/>
        <v>128.99504618892092</v>
      </c>
      <c r="I25" s="14">
        <f t="shared" si="9"/>
        <v>155.66623145912627</v>
      </c>
      <c r="J25" s="14">
        <f t="shared" si="9"/>
        <v>182.74012760897398</v>
      </c>
      <c r="K25" s="14">
        <f t="shared" si="9"/>
        <v>209.87916137184425</v>
      </c>
      <c r="L25" s="14">
        <f t="shared" si="9"/>
        <v>236.80698686449261</v>
      </c>
      <c r="M25" s="14">
        <f t="shared" si="9"/>
        <v>263.2999132046914</v>
      </c>
      <c r="N25" s="14">
        <f t="shared" si="9"/>
        <v>289.1794013738022</v>
      </c>
      <c r="O25" s="14">
        <f t="shared" si="9"/>
        <v>314.30550555813807</v>
      </c>
      <c r="P25" s="14">
        <f t="shared" si="9"/>
        <v>338.5711481381156</v>
      </c>
      <c r="Q25" s="14">
        <f t="shared" si="9"/>
        <v>361.89712992049886</v>
      </c>
      <c r="R25" s="14">
        <f t="shared" si="9"/>
        <v>384.2277882861236</v>
      </c>
      <c r="S25" s="14">
        <f t="shared" si="9"/>
        <v>405.5272257963942</v>
      </c>
      <c r="T25" s="14">
        <f t="shared" si="9"/>
        <v>425.7760405947278</v>
      </c>
      <c r="U25" s="14">
        <f t="shared" si="9"/>
        <v>444.96849776876417</v>
      </c>
      <c r="V25" s="14">
        <f t="shared" si="9"/>
        <v>462.77226138104277</v>
      </c>
      <c r="W25" s="14">
        <f t="shared" si="9"/>
        <v>479.2878120417836</v>
      </c>
      <c r="X25" s="14">
        <f t="shared" si="9"/>
        <v>494.60835996454875</v>
      </c>
      <c r="Y25" s="14">
        <f t="shared" si="9"/>
        <v>508.8203710246278</v>
      </c>
      <c r="Z25" s="14">
        <f t="shared" si="9"/>
        <v>522.0040547538291</v>
      </c>
      <c r="AA25" s="14">
        <f t="shared" si="9"/>
        <v>534.2338170258155</v>
      </c>
      <c r="AB25" s="14">
        <f t="shared" si="9"/>
        <v>545.5786799868417</v>
      </c>
      <c r="AC25" s="14">
        <f t="shared" si="9"/>
        <v>556.1026716018939</v>
      </c>
      <c r="AD25" s="14">
        <f t="shared" si="9"/>
        <v>565.8651870147438</v>
      </c>
      <c r="AE25" s="14">
        <f t="shared" si="9"/>
        <v>574.9213237613578</v>
      </c>
      <c r="AF25" s="14">
        <f t="shared" si="9"/>
        <v>583.3221927285323</v>
      </c>
      <c r="AG25" s="14">
        <f t="shared" si="9"/>
        <v>591.1152066127386</v>
      </c>
      <c r="AH25" s="14">
        <f t="shared" si="9"/>
        <v>598.3443475071786</v>
      </c>
      <c r="AI25" s="14">
        <f t="shared" si="9"/>
        <v>605.0504151272528</v>
      </c>
      <c r="AJ25" s="14">
        <f t="shared" si="9"/>
        <v>611.2712570753736</v>
      </c>
      <c r="AK25" s="14">
        <f t="shared" si="9"/>
        <v>617.0419824446878</v>
      </c>
      <c r="AL25" s="14">
        <f t="shared" si="9"/>
        <v>622.3951599672429</v>
      </c>
      <c r="AM25" s="14">
        <f t="shared" si="9"/>
        <v>627.3610018249005</v>
      </c>
      <c r="AN25" s="14">
        <f t="shared" si="9"/>
        <v>631.9675341603901</v>
      </c>
      <c r="AO25" s="14">
        <f t="shared" si="9"/>
        <v>636.2407552508256</v>
      </c>
    </row>
    <row r="26" spans="1:41" s="18" customFormat="1" ht="11.2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</row>
    <row r="27" spans="1:3" ht="11.25">
      <c r="A27" s="1" t="s">
        <v>32</v>
      </c>
      <c r="B27" s="2">
        <f>B3</f>
        <v>15</v>
      </c>
      <c r="C27" s="2" t="s">
        <v>11</v>
      </c>
    </row>
    <row r="28" spans="1:44" ht="11.25">
      <c r="A28" s="2" t="s">
        <v>23</v>
      </c>
      <c r="B28" s="5">
        <f>Vcour(B$6,$B$10:B$10,$B27,$K$3)</f>
        <v>50</v>
      </c>
      <c r="C28" s="5">
        <f>Vcour(C$6,$B$10:C$10,$B27,$K$3)</f>
        <v>98.63945578231292</v>
      </c>
      <c r="D28" s="5">
        <f>Vcour(D$6,$B$10:D$10,$B27,$K$3)</f>
        <v>145.7725947521866</v>
      </c>
      <c r="E28" s="5">
        <f>Vcour(E$6,$B$10:E$10,$B27,$K$3)</f>
        <v>191.24684442706697</v>
      </c>
      <c r="F28" s="5">
        <f>Vcour(F$6,$B$10:F$10,$B27,$K$3)</f>
        <v>234.90258669235362</v>
      </c>
      <c r="G28" s="5">
        <f>Vcour(G$6,$B$10:G$10,$B27,$K$3)</f>
        <v>276.5729042688622</v>
      </c>
      <c r="H28" s="5">
        <f>Vcour(H$6,$B$10:H$10,$B27,$K$3)</f>
        <v>316.083319164414</v>
      </c>
      <c r="I28" s="5">
        <f>Vcour(I$6,$B$10:I$10,$B27,$K$3)</f>
        <v>353.2515228756813</v>
      </c>
      <c r="J28" s="5">
        <f>Vcour(J$6,$B$10:J$10,$B27,$K$3)</f>
        <v>387.8870980999606</v>
      </c>
      <c r="K28" s="5">
        <f>Vcour(K$6,$B$10:K$10,$B27,$K$3)</f>
        <v>419.7912317099141</v>
      </c>
      <c r="L28" s="5">
        <f>Vcour(L$6,$B$10:L$10,$B27,$K$3)</f>
        <v>448.7564187375176</v>
      </c>
      <c r="M28" s="5">
        <f>Vcour(M$6,$B$10:M$10,$B27,$K$3)</f>
        <v>474.5661571064656</v>
      </c>
      <c r="N28" s="5">
        <f>Vcour(N$6,$B$10:N$10,$B27,$K$3)</f>
        <v>496.99463284511717</v>
      </c>
      <c r="O28" s="5">
        <f>Vcour(O$6,$B$10:O$10,$B27,$K$3)</f>
        <v>515.8063955047003</v>
      </c>
      <c r="P28" s="5">
        <f>Vcour(P$6,$B$10:P$10,$B27,$K$3)</f>
        <v>530.7560234999489</v>
      </c>
      <c r="Q28" s="5">
        <f>Vcour(Q$6,$B$10:Q$10,$B27,$K$3)</f>
        <v>541.5877790815806</v>
      </c>
      <c r="R28" s="5">
        <f>Vcour(R$6,$B$10:R$10,$B27,$K$3)</f>
        <v>552.6405908995719</v>
      </c>
      <c r="S28" s="5">
        <f>Vcour(S$6,$B$10:S$10,$B27,$K$3)</f>
        <v>563.9189703056857</v>
      </c>
      <c r="T28" s="5">
        <f>Vcour(T$6,$B$10:T$10,$B27,$K$3)</f>
        <v>575.4275207200874</v>
      </c>
      <c r="U28" s="19">
        <f>Vcour(U$6,$B$10:U$10,$B27,$K$3)</f>
        <v>587.1709395102934</v>
      </c>
      <c r="V28" s="5">
        <f>Vcour(V$6,$B$10:V$10,$B27,$K$3)</f>
        <v>599.1540199084626</v>
      </c>
      <c r="W28" s="5">
        <f>Vcour(W$6,$B$10:W$10,$B27,$K$3)</f>
        <v>611.3816529678189</v>
      </c>
      <c r="X28" s="5">
        <f>Vcour(X$6,$B$10:X$10,$B27,$K$3)</f>
        <v>623.8588295589989</v>
      </c>
      <c r="Y28" s="5">
        <f>Vcour(Y$6,$B$10:Y$10,$B27,$K$3)</f>
        <v>636.5906424071419</v>
      </c>
      <c r="Z28" s="5">
        <f>Vcour(Z$6,$B$10:Z$10,$B27,$K$3)</f>
        <v>649.5822881705529</v>
      </c>
      <c r="AA28" s="5">
        <f>Vcour(AA$6,$B$10:AA$10,$B27,$K$3)</f>
        <v>662.8390695617887</v>
      </c>
      <c r="AB28" s="5">
        <f>Vcour(AB$6,$B$10:AB$10,$B27,$K$3)</f>
        <v>676.3663975120294</v>
      </c>
      <c r="AC28" s="5">
        <f>Vcour(AC$6,$B$10:AC$10,$B27,$K$3)</f>
        <v>690.1697933796219</v>
      </c>
      <c r="AD28" s="5">
        <f>Vcour(AD$6,$B$10:AD$10,$B27,$K$3)</f>
        <v>704.2548912036957</v>
      </c>
      <c r="AE28" s="5">
        <f>Vcour(AE$6,$B$10:AE$10,$B27,$K$3)</f>
        <v>718.6274400037712</v>
      </c>
      <c r="AF28" s="5">
        <f>Vcour(AF$6,$B$10:AF$10,$B27,$K$3)</f>
        <v>733.2933061262972</v>
      </c>
      <c r="AG28" s="5">
        <f>Vcour(AG$6,$B$10:AG$10,$B27,$K$3)</f>
        <v>748.2584756390787</v>
      </c>
      <c r="AH28" s="5">
        <f>Vcour(AH$6,$B$10:AH$10,$B27,$K$3)</f>
        <v>763.5290567745702</v>
      </c>
      <c r="AI28" s="5">
        <f>Vcour(AI$6,$B$10:AI$10,$B27,$K$3)</f>
        <v>779.1112824230308</v>
      </c>
      <c r="AJ28" s="5">
        <f>Vcour(AJ$6,$B$10:AJ$10,$B27,$K$3)</f>
        <v>795.0115126765621</v>
      </c>
      <c r="AK28" s="5">
        <f>Vcour(AK$6,$B$10:AK$10,$B27,$K$3)</f>
        <v>811.2362374250633</v>
      </c>
      <c r="AL28" s="5">
        <f>Vcour(AL$6,$B$10:AL$10,$B27,$K$3)</f>
        <v>827.7920790051667</v>
      </c>
      <c r="AM28" s="5">
        <f>Vcour(AM$6,$B$10:AM$10,$B27,$K$3)</f>
        <v>844.6857949032312</v>
      </c>
      <c r="AN28" s="5">
        <f>Vcour(AN$6,$B$10:AN$10,$B27,$K$3)</f>
        <v>861.9242805135015</v>
      </c>
      <c r="AO28" s="5">
        <f>Vcour(AO$6,$B$10:AO$10,$B27,$K$3)</f>
        <v>879.5145719525524</v>
      </c>
      <c r="AQ28" s="22">
        <f>B27/$B$4*AO$10*$B$4*procour(B27,$K$3)</f>
        <v>879.5145719525525</v>
      </c>
      <c r="AR28" s="27">
        <f>AQ28*(1+$K$3)^(AO$6-1)</f>
        <v>399.99999999999994</v>
      </c>
    </row>
    <row r="29" spans="1:44" ht="11.25">
      <c r="A29" s="2" t="s">
        <v>24</v>
      </c>
      <c r="B29" s="5">
        <f aca="true" t="shared" si="10" ref="B29:AO29">B28-B30</f>
        <v>47.61904761904762</v>
      </c>
      <c r="C29" s="5">
        <f t="shared" si="10"/>
        <v>93.7109537692628</v>
      </c>
      <c r="D29" s="5">
        <f t="shared" si="10"/>
        <v>138.1227209751039</v>
      </c>
      <c r="E29" s="5">
        <f t="shared" si="10"/>
        <v>180.69429745565662</v>
      </c>
      <c r="F29" s="5">
        <f t="shared" si="10"/>
        <v>221.25832341508976</v>
      </c>
      <c r="G29" s="5">
        <f t="shared" si="10"/>
        <v>259.63986931362575</v>
      </c>
      <c r="H29" s="5">
        <f t="shared" si="10"/>
        <v>295.6561658850811</v>
      </c>
      <c r="I29" s="5">
        <f t="shared" si="10"/>
        <v>329.11632566057267</v>
      </c>
      <c r="J29" s="5">
        <f t="shared" si="10"/>
        <v>359.82105575135495</v>
      </c>
      <c r="K29" s="5">
        <f t="shared" si="10"/>
        <v>387.56236163694695</v>
      </c>
      <c r="L29" s="5">
        <f t="shared" si="10"/>
        <v>412.1232416977203</v>
      </c>
      <c r="M29" s="5">
        <f t="shared" si="10"/>
        <v>433.2773722239482</v>
      </c>
      <c r="N29" s="5">
        <f t="shared" si="10"/>
        <v>450.7887826259566</v>
      </c>
      <c r="O29" s="5">
        <f t="shared" si="10"/>
        <v>464.4115205624552</v>
      </c>
      <c r="P29" s="5">
        <f t="shared" si="10"/>
        <v>473.88930669638296</v>
      </c>
      <c r="Q29" s="5">
        <f t="shared" si="10"/>
        <v>483.5605170371256</v>
      </c>
      <c r="R29" s="5">
        <f t="shared" si="10"/>
        <v>493.42909901747487</v>
      </c>
      <c r="S29" s="5">
        <f t="shared" si="10"/>
        <v>503.4990806300765</v>
      </c>
      <c r="T29" s="5">
        <f t="shared" si="10"/>
        <v>513.7745720715066</v>
      </c>
      <c r="U29" s="5">
        <f t="shared" si="10"/>
        <v>524.2597674199048</v>
      </c>
      <c r="V29" s="5">
        <f t="shared" si="10"/>
        <v>534.9589463468416</v>
      </c>
      <c r="W29" s="5">
        <f t="shared" si="10"/>
        <v>545.876475864124</v>
      </c>
      <c r="X29" s="5">
        <f t="shared" si="10"/>
        <v>557.016812106249</v>
      </c>
      <c r="Y29" s="5">
        <f t="shared" si="10"/>
        <v>568.3845021492339</v>
      </c>
      <c r="Z29" s="5">
        <f t="shared" si="10"/>
        <v>579.9841858665651</v>
      </c>
      <c r="AA29" s="5">
        <f t="shared" si="10"/>
        <v>591.8205978230257</v>
      </c>
      <c r="AB29" s="5">
        <f t="shared" si="10"/>
        <v>603.8985692071691</v>
      </c>
      <c r="AC29" s="5">
        <f t="shared" si="10"/>
        <v>616.2230298032339</v>
      </c>
      <c r="AD29" s="5">
        <f t="shared" si="10"/>
        <v>628.7990100032997</v>
      </c>
      <c r="AE29" s="5">
        <f t="shared" si="10"/>
        <v>641.63164286051</v>
      </c>
      <c r="AF29" s="5">
        <f t="shared" si="10"/>
        <v>654.726166184194</v>
      </c>
      <c r="AG29" s="5">
        <f t="shared" si="10"/>
        <v>668.0879246777488</v>
      </c>
      <c r="AH29" s="5">
        <f t="shared" si="10"/>
        <v>681.722372120152</v>
      </c>
      <c r="AI29" s="5">
        <f t="shared" si="10"/>
        <v>695.6350735919918</v>
      </c>
      <c r="AJ29" s="5">
        <f t="shared" si="10"/>
        <v>709.8317077469305</v>
      </c>
      <c r="AK29" s="5">
        <f t="shared" si="10"/>
        <v>724.3180691295208</v>
      </c>
      <c r="AL29" s="5">
        <f t="shared" si="10"/>
        <v>739.1000705403274</v>
      </c>
      <c r="AM29" s="5">
        <f t="shared" si="10"/>
        <v>754.1837454493136</v>
      </c>
      <c r="AN29" s="5">
        <f t="shared" si="10"/>
        <v>769.5752504584834</v>
      </c>
      <c r="AO29" s="5">
        <f t="shared" si="10"/>
        <v>785.280867814779</v>
      </c>
      <c r="AQ29" s="22"/>
      <c r="AR29" s="27"/>
    </row>
    <row r="30" spans="1:44" ht="11.25">
      <c r="A30" s="2" t="s">
        <v>2</v>
      </c>
      <c r="B30" s="5">
        <f>DepCour(B$6,$B$10:B$10,$B27,$K$3)</f>
        <v>2.380952380952378</v>
      </c>
      <c r="C30" s="5">
        <f>DepCour(C$6,$B$10:C$10,$B27,$K$3)</f>
        <v>4.928502013050116</v>
      </c>
      <c r="D30" s="5">
        <f>DepCour(D$6,$B$10:D$10,$B27,$K$3)</f>
        <v>7.649873777082675</v>
      </c>
      <c r="E30" s="5">
        <f>DepCour(E$6,$B$10:E$10,$B27,$K$3)</f>
        <v>10.55254697141034</v>
      </c>
      <c r="F30" s="5">
        <f>DepCour(F$6,$B$10:F$10,$B27,$K$3)</f>
        <v>13.644263277263864</v>
      </c>
      <c r="G30" s="5">
        <f>DepCour(G$6,$B$10:G$10,$B27,$K$3)</f>
        <v>16.93303495523646</v>
      </c>
      <c r="H30" s="5">
        <f>DepCour(H$6,$B$10:H$10,$B27,$K$3)</f>
        <v>20.427153279332874</v>
      </c>
      <c r="I30" s="5">
        <f>DepCour(I$6,$B$10:I$10,$B27,$K$3)</f>
        <v>24.13519721510865</v>
      </c>
      <c r="J30" s="5">
        <f>DepCour(J$6,$B$10:J$10,$B27,$K$3)</f>
        <v>28.066042348605677</v>
      </c>
      <c r="K30" s="5">
        <f>DepCour(K$6,$B$10:K$10,$B27,$K$3)</f>
        <v>32.228870072967155</v>
      </c>
      <c r="L30" s="5">
        <f>DepCour(L$6,$B$10:L$10,$B27,$K$3)</f>
        <v>36.63317703979734</v>
      </c>
      <c r="M30" s="5">
        <f>DepCour(M$6,$B$10:M$10,$B27,$K$3)</f>
        <v>41.28878488251741</v>
      </c>
      <c r="N30" s="5">
        <f>DepCour(N$6,$B$10:N$10,$B27,$K$3)</f>
        <v>46.20585021916054</v>
      </c>
      <c r="O30" s="5">
        <f>DepCour(O$6,$B$10:O$10,$B27,$K$3)</f>
        <v>51.394874942245046</v>
      </c>
      <c r="P30" s="5">
        <f>DepCour(P$6,$B$10:P$10,$B27,$K$3)</f>
        <v>56.86671680356595</v>
      </c>
      <c r="Q30" s="5">
        <f>DepCour(Q$6,$B$10:Q$10,$B27,$K$3)</f>
        <v>58.02726204445504</v>
      </c>
      <c r="R30" s="5">
        <f>DepCour(R$6,$B$10:R$10,$B27,$K$3)</f>
        <v>59.211491882096986</v>
      </c>
      <c r="S30" s="5">
        <f>DepCour(S$6,$B$10:S$10,$B27,$K$3)</f>
        <v>60.41988967560917</v>
      </c>
      <c r="T30" s="5">
        <f>DepCour(T$6,$B$10:T$10,$B27,$K$3)</f>
        <v>61.65294864858079</v>
      </c>
      <c r="U30" s="5">
        <f>DepCour(U$6,$B$10:U$10,$B27,$K$3)</f>
        <v>62.91117209038856</v>
      </c>
      <c r="V30" s="5">
        <f>DepCour(V$6,$B$10:V$10,$B27,$K$3)</f>
        <v>64.19507356162099</v>
      </c>
      <c r="W30" s="5">
        <f>DepCour(W$6,$B$10:W$10,$B27,$K$3)</f>
        <v>65.50517710369488</v>
      </c>
      <c r="X30" s="5">
        <f>DepCour(X$6,$B$10:X$10,$B27,$K$3)</f>
        <v>66.84201745274989</v>
      </c>
      <c r="Y30" s="5">
        <f>DepCour(Y$6,$B$10:Y$10,$B27,$K$3)</f>
        <v>68.20614025790805</v>
      </c>
      <c r="Z30" s="5">
        <f>DepCour(Z$6,$B$10:Z$10,$B27,$K$3)</f>
        <v>69.5981023039878</v>
      </c>
      <c r="AA30" s="5">
        <f>DepCour(AA$6,$B$10:AA$10,$B27,$K$3)</f>
        <v>71.01847173876308</v>
      </c>
      <c r="AB30" s="5">
        <f>DepCour(AB$6,$B$10:AB$10,$B27,$K$3)</f>
        <v>72.46782830486028</v>
      </c>
      <c r="AC30" s="5">
        <f>DepCour(AC$6,$B$10:AC$10,$B27,$K$3)</f>
        <v>73.94676357638804</v>
      </c>
      <c r="AD30" s="5">
        <f>DepCour(AD$6,$B$10:AD$10,$B27,$K$3)</f>
        <v>75.45588120039596</v>
      </c>
      <c r="AE30" s="5">
        <f>DepCour(AE$6,$B$10:AE$10,$B27,$K$3)</f>
        <v>76.99579714326117</v>
      </c>
      <c r="AF30" s="5">
        <f>DepCour(AF$6,$B$10:AF$10,$B27,$K$3)</f>
        <v>78.56713994210322</v>
      </c>
      <c r="AG30" s="5">
        <f>DepCour(AG$6,$B$10:AG$10,$B27,$K$3)</f>
        <v>80.17055096132987</v>
      </c>
      <c r="AH30" s="5">
        <f>DepCour(AH$6,$B$10:AH$10,$B27,$K$3)</f>
        <v>81.8066846544182</v>
      </c>
      <c r="AI30" s="5">
        <f>DepCour(AI$6,$B$10:AI$10,$B27,$K$3)</f>
        <v>83.476208831039</v>
      </c>
      <c r="AJ30" s="5">
        <f>DepCour(AJ$6,$B$10:AJ$10,$B27,$K$3)</f>
        <v>85.17980492963163</v>
      </c>
      <c r="AK30" s="5">
        <f>DepCour(AK$6,$B$10:AK$10,$B27,$K$3)</f>
        <v>86.91816829554247</v>
      </c>
      <c r="AL30" s="5">
        <f>DepCour(AL$6,$B$10:AL$10,$B27,$K$3)</f>
        <v>88.69200846483929</v>
      </c>
      <c r="AM30" s="5">
        <f>DepCour(AM$6,$B$10:AM$10,$B27,$K$3)</f>
        <v>90.50204945391762</v>
      </c>
      <c r="AN30" s="5">
        <f>DepCour(AN$6,$B$10:AN$10,$B27,$K$3)</f>
        <v>92.34903005501799</v>
      </c>
      <c r="AO30" s="5">
        <f>DepCour(AO$6,$B$10:AO$10,$B27,$K$3)</f>
        <v>94.23370413777347</v>
      </c>
      <c r="AQ30" s="22">
        <f>B27/$B$4*AO$10*$B$4*(1+$K$3*B27*procour(B27,$K$3))/(1+$K$3)/B27</f>
        <v>94.23370413777347</v>
      </c>
      <c r="AR30" s="27">
        <f>AQ30*(1+$K$3)^(AO$6-1)</f>
        <v>42.85714285714285</v>
      </c>
    </row>
    <row r="31" spans="1:44" ht="11.25">
      <c r="A31" s="2" t="s">
        <v>25</v>
      </c>
      <c r="B31" s="6">
        <f aca="true" t="shared" si="11" ref="B31:AO31">($K$2*B28+B30)/(1+$K$2)</f>
        <v>6.709956709956707</v>
      </c>
      <c r="C31" s="6">
        <f t="shared" si="11"/>
        <v>13.447679628437644</v>
      </c>
      <c r="D31" s="6">
        <f t="shared" si="11"/>
        <v>20.206484774819394</v>
      </c>
      <c r="E31" s="6">
        <f t="shared" si="11"/>
        <v>26.979301285560943</v>
      </c>
      <c r="F31" s="6">
        <f t="shared" si="11"/>
        <v>33.75865631499929</v>
      </c>
      <c r="G31" s="6">
        <f t="shared" si="11"/>
        <v>40.53665943829335</v>
      </c>
      <c r="H31" s="6">
        <f t="shared" si="11"/>
        <v>47.30498654161297</v>
      </c>
      <c r="I31" s="6">
        <f t="shared" si="11"/>
        <v>54.05486318425161</v>
      </c>
      <c r="J31" s="6">
        <f t="shared" si="11"/>
        <v>60.77704741691067</v>
      </c>
      <c r="K31" s="6">
        <f t="shared" si="11"/>
        <v>67.46181203996233</v>
      </c>
      <c r="L31" s="6">
        <f t="shared" si="11"/>
        <v>74.09892628504464</v>
      </c>
      <c r="M31" s="6">
        <f t="shared" si="11"/>
        <v>80.67763690287633</v>
      </c>
      <c r="N31" s="6">
        <f t="shared" si="11"/>
        <v>87.18664863970204</v>
      </c>
      <c r="O31" s="6">
        <f t="shared" si="11"/>
        <v>93.61410408428642</v>
      </c>
      <c r="P31" s="6">
        <f t="shared" si="11"/>
        <v>99.94756286687348</v>
      </c>
      <c r="Q31" s="6">
        <f t="shared" si="11"/>
        <v>101.98730904783008</v>
      </c>
      <c r="R31" s="6">
        <f t="shared" si="11"/>
        <v>104.06868270186743</v>
      </c>
      <c r="S31" s="6">
        <f t="shared" si="11"/>
        <v>106.19253336925249</v>
      </c>
      <c r="T31" s="6">
        <f t="shared" si="11"/>
        <v>108.35972792780865</v>
      </c>
      <c r="U31" s="6">
        <f t="shared" si="11"/>
        <v>110.57115094674354</v>
      </c>
      <c r="V31" s="6">
        <f t="shared" si="11"/>
        <v>112.82770504769749</v>
      </c>
      <c r="W31" s="6">
        <f t="shared" si="11"/>
        <v>115.13031127316069</v>
      </c>
      <c r="X31" s="6">
        <f t="shared" si="11"/>
        <v>117.47990946240887</v>
      </c>
      <c r="Y31" s="6">
        <f t="shared" si="11"/>
        <v>119.87745863511111</v>
      </c>
      <c r="Z31" s="6">
        <f t="shared" si="11"/>
        <v>122.32393738276646</v>
      </c>
      <c r="AA31" s="6">
        <f t="shared" si="11"/>
        <v>124.82034426812906</v>
      </c>
      <c r="AB31" s="6">
        <f t="shared" si="11"/>
        <v>127.36769823278473</v>
      </c>
      <c r="AC31" s="6">
        <f t="shared" si="11"/>
        <v>129.96703901304565</v>
      </c>
      <c r="AD31" s="6">
        <f t="shared" si="11"/>
        <v>132.6194275643323</v>
      </c>
      <c r="AE31" s="6">
        <f t="shared" si="11"/>
        <v>135.32594649421662</v>
      </c>
      <c r="AF31" s="6">
        <f t="shared" si="11"/>
        <v>138.0877005043027</v>
      </c>
      <c r="AG31" s="6">
        <f t="shared" si="11"/>
        <v>140.90581684112522</v>
      </c>
      <c r="AH31" s="6">
        <f t="shared" si="11"/>
        <v>143.78144575625018</v>
      </c>
      <c r="AI31" s="6">
        <f t="shared" si="11"/>
        <v>146.71576097576553</v>
      </c>
      <c r="AJ31" s="6">
        <f t="shared" si="11"/>
        <v>149.70996017935258</v>
      </c>
      <c r="AK31" s="6">
        <f t="shared" si="11"/>
        <v>152.76526548913526</v>
      </c>
      <c r="AL31" s="6">
        <f t="shared" si="11"/>
        <v>155.8829239685054</v>
      </c>
      <c r="AM31" s="6">
        <f t="shared" si="11"/>
        <v>159.0642081311279</v>
      </c>
      <c r="AN31" s="6">
        <f t="shared" si="11"/>
        <v>162.31041646033466</v>
      </c>
      <c r="AO31" s="6">
        <f t="shared" si="11"/>
        <v>165.622873939117</v>
      </c>
      <c r="AQ31" s="22">
        <f>$B27/$B$4*AO$10*$B$4*(1+$K$4*$B27*procour($B27,$K$3))/(1+$K$4)/$B27</f>
        <v>165.62287393911708</v>
      </c>
      <c r="AR31" s="27">
        <f>AQ31*(1+$K$3)^(AO$6-1)</f>
        <v>75.32467532467534</v>
      </c>
    </row>
    <row r="32" spans="1:41" ht="11.25">
      <c r="A32" s="12" t="s">
        <v>30</v>
      </c>
      <c r="B32" s="13">
        <f>B31</f>
        <v>6.709956709956707</v>
      </c>
      <c r="C32" s="14">
        <f aca="true" t="shared" si="12" ref="C32:AO32">B32+C31/(1+$K$2)^(C$6-1)</f>
        <v>18.93512000853638</v>
      </c>
      <c r="D32" s="14">
        <f t="shared" si="12"/>
        <v>35.63469420260199</v>
      </c>
      <c r="E32" s="14">
        <f t="shared" si="12"/>
        <v>55.90464257642689</v>
      </c>
      <c r="F32" s="14">
        <f t="shared" si="12"/>
        <v>78.96225907461641</v>
      </c>
      <c r="G32" s="14">
        <f t="shared" si="12"/>
        <v>104.1323352854399</v>
      </c>
      <c r="H32" s="14">
        <f t="shared" si="12"/>
        <v>130.8347669497252</v>
      </c>
      <c r="I32" s="14">
        <f t="shared" si="12"/>
        <v>158.57345882257405</v>
      </c>
      <c r="J32" s="14">
        <f t="shared" si="12"/>
        <v>186.9263999899198</v>
      </c>
      <c r="K32" s="14">
        <f t="shared" si="12"/>
        <v>215.53679380716002</v>
      </c>
      <c r="L32" s="14">
        <f t="shared" si="12"/>
        <v>244.10513759029251</v>
      </c>
      <c r="M32" s="14">
        <f t="shared" si="12"/>
        <v>272.3821571493255</v>
      </c>
      <c r="N32" s="14">
        <f t="shared" si="12"/>
        <v>300.1625102988193</v>
      </c>
      <c r="O32" s="14">
        <f t="shared" si="12"/>
        <v>327.2791816929999</v>
      </c>
      <c r="P32" s="14">
        <f t="shared" si="12"/>
        <v>353.59849878756944</v>
      </c>
      <c r="Q32" s="14">
        <f t="shared" si="12"/>
        <v>378.0134497101757</v>
      </c>
      <c r="R32" s="14">
        <f t="shared" si="12"/>
        <v>400.6618271894023</v>
      </c>
      <c r="S32" s="14">
        <f t="shared" si="12"/>
        <v>421.6714537935086</v>
      </c>
      <c r="T32" s="14">
        <f t="shared" si="12"/>
        <v>441.16090333349587</v>
      </c>
      <c r="U32" s="14">
        <f t="shared" si="12"/>
        <v>459.240170068178</v>
      </c>
      <c r="V32" s="14">
        <f t="shared" si="12"/>
        <v>476.0112894881057</v>
      </c>
      <c r="W32" s="14">
        <f t="shared" si="12"/>
        <v>491.5689141819162</v>
      </c>
      <c r="X32" s="14">
        <f t="shared" si="12"/>
        <v>506.00084803517274</v>
      </c>
      <c r="Y32" s="14">
        <f t="shared" si="12"/>
        <v>519.388541776598</v>
      </c>
      <c r="Z32" s="14">
        <f t="shared" si="12"/>
        <v>531.8075526684582</v>
      </c>
      <c r="AA32" s="14">
        <f t="shared" si="12"/>
        <v>543.32797093549</v>
      </c>
      <c r="AB32" s="14">
        <f t="shared" si="12"/>
        <v>554.0148153390445</v>
      </c>
      <c r="AC32" s="14">
        <f t="shared" si="12"/>
        <v>563.9284001289838</v>
      </c>
      <c r="AD32" s="14">
        <f t="shared" si="12"/>
        <v>573.1246754443263</v>
      </c>
      <c r="AE32" s="14">
        <f t="shared" si="12"/>
        <v>581.6555430837906</v>
      </c>
      <c r="AF32" s="14">
        <f t="shared" si="12"/>
        <v>589.5691494283772</v>
      </c>
      <c r="AG32" s="14">
        <f t="shared" si="12"/>
        <v>596.910157169181</v>
      </c>
      <c r="AH32" s="14">
        <f t="shared" si="12"/>
        <v>603.7199973740084</v>
      </c>
      <c r="AI32" s="14">
        <f t="shared" si="12"/>
        <v>610.0371033154066</v>
      </c>
      <c r="AJ32" s="14">
        <f t="shared" si="12"/>
        <v>615.8971273797835</v>
      </c>
      <c r="AK32" s="14">
        <f t="shared" si="12"/>
        <v>621.3331422818028</v>
      </c>
      <c r="AL32" s="14">
        <f t="shared" si="12"/>
        <v>626.3758277196686</v>
      </c>
      <c r="AM32" s="14">
        <f t="shared" si="12"/>
        <v>631.0536435247388</v>
      </c>
      <c r="AN32" s="14">
        <f t="shared" si="12"/>
        <v>635.3929902826891</v>
      </c>
      <c r="AO32" s="14">
        <f t="shared" si="12"/>
        <v>639.4183583327357</v>
      </c>
    </row>
    <row r="33" spans="3:41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3" ht="11.25">
      <c r="A34" s="1" t="s">
        <v>28</v>
      </c>
      <c r="B34" s="2">
        <f>B4</f>
        <v>20</v>
      </c>
      <c r="C34" s="2" t="s">
        <v>11</v>
      </c>
    </row>
    <row r="35" spans="1:44" ht="11.25">
      <c r="A35" s="2" t="s">
        <v>23</v>
      </c>
      <c r="B35" s="5">
        <f>Vcour(B$6,$B$10:B$10,$B34,$K$3)</f>
        <v>50</v>
      </c>
      <c r="C35" s="5">
        <f>Vcour(C$6,$B$10:C$10,$B34,$K$3)</f>
        <v>99.48979591836735</v>
      </c>
      <c r="D35" s="5">
        <f>Vcour(D$6,$B$10:D$10,$B34,$K$3)</f>
        <v>148.3756768013328</v>
      </c>
      <c r="E35" s="5">
        <f>Vcour(E$6,$B$10:E$10,$B34,$K$3)</f>
        <v>196.55925677226327</v>
      </c>
      <c r="F35" s="5">
        <f>Vcour(F$6,$B$10:F$10,$B34,$K$3)</f>
        <v>243.93730156513647</v>
      </c>
      <c r="G35" s="5">
        <f>Vcour(G$6,$B$10:G$10,$B34,$K$3)</f>
        <v>290.4015494823053</v>
      </c>
      <c r="H35" s="5">
        <f>Vcour(H$6,$B$10:H$10,$B34,$K$3)</f>
        <v>335.8385266121898</v>
      </c>
      <c r="I35" s="5">
        <f>Vcour(I$6,$B$10:I$10,$B34,$K$3)</f>
        <v>380.1293561379614</v>
      </c>
      <c r="J35" s="5">
        <f>Vcour(J$6,$B$10:J$10,$B34,$K$3)</f>
        <v>423.1495615635934</v>
      </c>
      <c r="K35" s="5">
        <f>Vcour(K$6,$B$10:K$10,$B34,$K$3)</f>
        <v>464.76886367883344</v>
      </c>
      <c r="L35" s="5">
        <f>Vcour(L$6,$B$10:L$10,$B34,$K$3)</f>
        <v>504.85097107970716</v>
      </c>
      <c r="M35" s="5">
        <f>Vcour(M$6,$B$10:M$10,$B34,$K$3)</f>
        <v>543.2533640560857</v>
      </c>
      <c r="N35" s="5">
        <f>Vcour(N$6,$B$10:N$10,$B34,$K$3)</f>
        <v>579.8270716526365</v>
      </c>
      <c r="O35" s="5">
        <f>Vcour(O$6,$B$10:O$10,$B34,$K$3)</f>
        <v>614.4164417041283</v>
      </c>
      <c r="P35" s="5">
        <f>Vcour(P$6,$B$10:P$10,$B34,$K$3)</f>
        <v>646.8589036405626</v>
      </c>
      <c r="Q35" s="5">
        <f>Vcour(Q$6,$B$10:Q$10,$B34,$K$3)</f>
        <v>676.9847238519756</v>
      </c>
      <c r="R35" s="5">
        <f>Vcour(R$6,$B$10:R$10,$B34,$K$3)</f>
        <v>704.6167533969542</v>
      </c>
      <c r="S35" s="5">
        <f>Vcour(S$6,$B$10:S$10,$B34,$K$3)</f>
        <v>729.5701678329807</v>
      </c>
      <c r="T35" s="5">
        <f>Vcour(T$6,$B$10:T$10,$B34,$K$3)</f>
        <v>751.6521989406142</v>
      </c>
      <c r="U35" s="19">
        <f>Vcour(U$6,$B$10:U$10,$B34,$K$3)</f>
        <v>770.6618581072601</v>
      </c>
      <c r="V35" s="5">
        <f>Vcour(V$6,$B$10:V$10,$B34,$K$3)</f>
        <v>786.3896511298572</v>
      </c>
      <c r="W35" s="5">
        <f>Vcour(W$6,$B$10:W$10,$B34,$K$3)</f>
        <v>802.4384195202624</v>
      </c>
      <c r="X35" s="5">
        <f>Vcour(X$6,$B$10:X$10,$B34,$K$3)</f>
        <v>818.8147137961861</v>
      </c>
      <c r="Y35" s="5">
        <f>Vcour(Y$6,$B$10:Y$10,$B34,$K$3)</f>
        <v>835.5252181593737</v>
      </c>
      <c r="Z35" s="5">
        <f>Vcour(Z$6,$B$10:Z$10,$B34,$K$3)</f>
        <v>852.5767532238507</v>
      </c>
      <c r="AA35" s="5">
        <f>Vcour(AA$6,$B$10:AA$10,$B34,$K$3)</f>
        <v>869.9762787998478</v>
      </c>
      <c r="AB35" s="5">
        <f>Vcour(AB$6,$B$10:AB$10,$B34,$K$3)</f>
        <v>887.7308967345384</v>
      </c>
      <c r="AC35" s="5">
        <f>Vcour(AC$6,$B$10:AC$10,$B34,$K$3)</f>
        <v>905.8478538107537</v>
      </c>
      <c r="AD35" s="5">
        <f>Vcour(AD$6,$B$10:AD$10,$B34,$K$3)</f>
        <v>924.3345447048505</v>
      </c>
      <c r="AE35" s="5">
        <f>Vcour(AE$6,$B$10:AE$10,$B34,$K$3)</f>
        <v>943.1985150049496</v>
      </c>
      <c r="AF35" s="5">
        <f>Vcour(AF$6,$B$10:AF$10,$B34,$K$3)</f>
        <v>962.447464290765</v>
      </c>
      <c r="AG35" s="5">
        <f>Vcour(AG$6,$B$10:AG$10,$B34,$K$3)</f>
        <v>982.0892492762908</v>
      </c>
      <c r="AH35" s="5">
        <f>Vcour(AH$6,$B$10:AH$10,$B34,$K$3)</f>
        <v>1002.1318870166233</v>
      </c>
      <c r="AI35" s="5">
        <f>Vcour(AI$6,$B$10:AI$10,$B34,$K$3)</f>
        <v>1022.5835581802278</v>
      </c>
      <c r="AJ35" s="5">
        <f>Vcour(AJ$6,$B$10:AJ$10,$B34,$K$3)</f>
        <v>1043.4526103879875</v>
      </c>
      <c r="AK35" s="5">
        <f>Vcour(AK$6,$B$10:AK$10,$B34,$K$3)</f>
        <v>1064.7475616203958</v>
      </c>
      <c r="AL35" s="5">
        <f>Vcour(AL$6,$B$10:AL$10,$B34,$K$3)</f>
        <v>1086.4771036942814</v>
      </c>
      <c r="AM35" s="5">
        <f>Vcour(AM$6,$B$10:AM$10,$B34,$K$3)</f>
        <v>1108.6501058104911</v>
      </c>
      <c r="AN35" s="5">
        <f>Vcour(AN$6,$B$10:AN$10,$B34,$K$3)</f>
        <v>1131.2756181739705</v>
      </c>
      <c r="AO35" s="5">
        <f>Vcour(AO$6,$B$10:AO$10,$B34,$K$3)</f>
        <v>1154.3628756877251</v>
      </c>
      <c r="AQ35" s="22">
        <f>AO$10*$B$4*procour(B34,$K$3)</f>
        <v>1154.3628756877254</v>
      </c>
      <c r="AR35" s="27">
        <f>AQ35*(1+$K$3)^(AO$6-1)</f>
        <v>525</v>
      </c>
    </row>
    <row r="36" spans="1:44" ht="11.25">
      <c r="A36" s="2" t="s">
        <v>24</v>
      </c>
      <c r="B36" s="5">
        <f aca="true" t="shared" si="13" ref="B36:AO36">B35-B37</f>
        <v>48.46938775510204</v>
      </c>
      <c r="C36" s="5">
        <f t="shared" si="13"/>
        <v>96.314035818409</v>
      </c>
      <c r="D36" s="5">
        <f t="shared" si="13"/>
        <v>143.43513332030022</v>
      </c>
      <c r="E36" s="5">
        <f t="shared" si="13"/>
        <v>189.72901232843947</v>
      </c>
      <c r="F36" s="5">
        <f t="shared" si="13"/>
        <v>235.08696862853287</v>
      </c>
      <c r="G36" s="5">
        <f t="shared" si="13"/>
        <v>279.39507676140164</v>
      </c>
      <c r="H36" s="5">
        <f t="shared" si="13"/>
        <v>322.53399914736116</v>
      </c>
      <c r="I36" s="5">
        <f t="shared" si="13"/>
        <v>364.3787891242054</v>
      </c>
      <c r="J36" s="5">
        <f t="shared" si="13"/>
        <v>404.7986877202743</v>
      </c>
      <c r="K36" s="5">
        <f t="shared" si="13"/>
        <v>443.6569139791366</v>
      </c>
      <c r="L36" s="5">
        <f t="shared" si="13"/>
        <v>480.81044864734014</v>
      </c>
      <c r="M36" s="5">
        <f t="shared" si="13"/>
        <v>516.1098110314678</v>
      </c>
      <c r="N36" s="5">
        <f t="shared" si="13"/>
        <v>549.3988288253845</v>
      </c>
      <c r="O36" s="5">
        <f t="shared" si="13"/>
        <v>580.514400703069</v>
      </c>
      <c r="P36" s="5">
        <f t="shared" si="13"/>
        <v>609.286251466778</v>
      </c>
      <c r="Q36" s="5">
        <f t="shared" si="13"/>
        <v>635.5366795345077</v>
      </c>
      <c r="R36" s="5">
        <f t="shared" si="13"/>
        <v>659.0802965447701</v>
      </c>
      <c r="S36" s="5">
        <f t="shared" si="13"/>
        <v>679.7237588506032</v>
      </c>
      <c r="T36" s="5">
        <f t="shared" si="13"/>
        <v>697.2654906684733</v>
      </c>
      <c r="U36" s="5">
        <f t="shared" si="13"/>
        <v>711.4953986412994</v>
      </c>
      <c r="V36" s="5">
        <f t="shared" si="13"/>
        <v>726.0157128992851</v>
      </c>
      <c r="W36" s="5">
        <f t="shared" si="13"/>
        <v>740.8323601013112</v>
      </c>
      <c r="X36" s="5">
        <f t="shared" si="13"/>
        <v>755.9513878584809</v>
      </c>
      <c r="Y36" s="5">
        <f t="shared" si="13"/>
        <v>771.3789672025316</v>
      </c>
      <c r="Z36" s="5">
        <f t="shared" si="13"/>
        <v>787.1213951046241</v>
      </c>
      <c r="AA36" s="5">
        <f t="shared" si="13"/>
        <v>803.1850970455349</v>
      </c>
      <c r="AB36" s="5">
        <f t="shared" si="13"/>
        <v>819.5766296383008</v>
      </c>
      <c r="AC36" s="5">
        <f t="shared" si="13"/>
        <v>836.3026833043888</v>
      </c>
      <c r="AD36" s="5">
        <f t="shared" si="13"/>
        <v>853.3700850044781</v>
      </c>
      <c r="AE36" s="5">
        <f t="shared" si="13"/>
        <v>870.7858010249778</v>
      </c>
      <c r="AF36" s="5">
        <f t="shared" si="13"/>
        <v>888.556939821406</v>
      </c>
      <c r="AG36" s="5">
        <f t="shared" si="13"/>
        <v>906.690754919802</v>
      </c>
      <c r="AH36" s="5">
        <f t="shared" si="13"/>
        <v>925.1946478773491</v>
      </c>
      <c r="AI36" s="5">
        <f t="shared" si="13"/>
        <v>944.0761713034174</v>
      </c>
      <c r="AJ36" s="5">
        <f t="shared" si="13"/>
        <v>963.3430319422625</v>
      </c>
      <c r="AK36" s="5">
        <f t="shared" si="13"/>
        <v>983.0030938186356</v>
      </c>
      <c r="AL36" s="5">
        <f t="shared" si="13"/>
        <v>1003.0643814475873</v>
      </c>
      <c r="AM36" s="5">
        <f t="shared" si="13"/>
        <v>1023.5350831097829</v>
      </c>
      <c r="AN36" s="5">
        <f t="shared" si="13"/>
        <v>1044.423554193656</v>
      </c>
      <c r="AO36" s="5">
        <f t="shared" si="13"/>
        <v>1065.7383206057716</v>
      </c>
      <c r="AQ36" s="22"/>
      <c r="AR36" s="27"/>
    </row>
    <row r="37" spans="1:44" ht="11.25">
      <c r="A37" s="2" t="s">
        <v>2</v>
      </c>
      <c r="B37" s="5">
        <f>DepCour(B$6,$B$10:B$10,$B34,$K$3)</f>
        <v>1.5306122448979609</v>
      </c>
      <c r="C37" s="5">
        <f>DepCour(C$6,$B$10:C$10,$B34,$K$3)</f>
        <v>3.175760099958346</v>
      </c>
      <c r="D37" s="5">
        <f>DepCour(D$6,$B$10:D$10,$B34,$K$3)</f>
        <v>4.940543481032561</v>
      </c>
      <c r="E37" s="5">
        <f>DepCour(E$6,$B$10:E$10,$B34,$K$3)</f>
        <v>6.8302444438238155</v>
      </c>
      <c r="F37" s="5">
        <f>DepCour(F$6,$B$10:F$10,$B34,$K$3)</f>
        <v>8.850332936603587</v>
      </c>
      <c r="G37" s="5">
        <f>DepCour(G$6,$B$10:G$10,$B34,$K$3)</f>
        <v>11.006472720903698</v>
      </c>
      <c r="H37" s="5">
        <f>DepCour(H$6,$B$10:H$10,$B34,$K$3)</f>
        <v>13.304527464828645</v>
      </c>
      <c r="I37" s="5">
        <f>DepCour(I$6,$B$10:I$10,$B34,$K$3)</f>
        <v>15.750567013755965</v>
      </c>
      <c r="J37" s="5">
        <f>DepCour(J$6,$B$10:J$10,$B34,$K$3)</f>
        <v>18.3508738433191</v>
      </c>
      <c r="K37" s="5">
        <f>DepCour(K$6,$B$10:K$10,$B34,$K$3)</f>
        <v>21.111949699696837</v>
      </c>
      <c r="L37" s="5">
        <f>DepCour(L$6,$B$10:L$10,$B34,$K$3)</f>
        <v>24.040522432367005</v>
      </c>
      <c r="M37" s="5">
        <f>DepCour(M$6,$B$10:M$10,$B34,$K$3)</f>
        <v>27.14355302461792</v>
      </c>
      <c r="N37" s="5">
        <f>DepCour(N$6,$B$10:N$10,$B34,$K$3)</f>
        <v>30.428242827252056</v>
      </c>
      <c r="O37" s="5">
        <f>DepCour(O$6,$B$10:O$10,$B34,$K$3)</f>
        <v>33.90204100105922</v>
      </c>
      <c r="P37" s="5">
        <f>DepCour(P$6,$B$10:P$10,$B34,$K$3)</f>
        <v>37.572652173784626</v>
      </c>
      <c r="Q37" s="5">
        <f>DepCour(Q$6,$B$10:Q$10,$B34,$K$3)</f>
        <v>41.448044317467875</v>
      </c>
      <c r="R37" s="5">
        <f>DepCour(R$6,$B$10:R$10,$B34,$K$3)</f>
        <v>45.53645685218411</v>
      </c>
      <c r="S37" s="5">
        <f>DepCour(S$6,$B$10:S$10,$B34,$K$3)</f>
        <v>49.84640898237757</v>
      </c>
      <c r="T37" s="5">
        <f>DepCour(T$6,$B$10:T$10,$B34,$K$3)</f>
        <v>54.386708272140915</v>
      </c>
      <c r="U37" s="5">
        <f>DepCour(U$6,$B$10:U$10,$B34,$K$3)</f>
        <v>59.166459465960656</v>
      </c>
      <c r="V37" s="5">
        <f>DepCour(V$6,$B$10:V$10,$B34,$K$3)</f>
        <v>60.37393823057211</v>
      </c>
      <c r="W37" s="5">
        <f>DepCour(W$6,$B$10:W$10,$B34,$K$3)</f>
        <v>61.60605941895113</v>
      </c>
      <c r="X37" s="5">
        <f>DepCour(X$6,$B$10:X$10,$B34,$K$3)</f>
        <v>62.86332593770524</v>
      </c>
      <c r="Y37" s="5">
        <f>DepCour(Y$6,$B$10:Y$10,$B34,$K$3)</f>
        <v>64.14625095684208</v>
      </c>
      <c r="Z37" s="5">
        <f>DepCour(Z$6,$B$10:Z$10,$B34,$K$3)</f>
        <v>65.45535811922662</v>
      </c>
      <c r="AA37" s="5">
        <f>DepCour(AA$6,$B$10:AA$10,$B34,$K$3)</f>
        <v>66.79118175431287</v>
      </c>
      <c r="AB37" s="5">
        <f>DepCour(AB$6,$B$10:AB$10,$B34,$K$3)</f>
        <v>68.15426709623763</v>
      </c>
      <c r="AC37" s="5">
        <f>DepCour(AC$6,$B$10:AC$10,$B34,$K$3)</f>
        <v>69.54517050636494</v>
      </c>
      <c r="AD37" s="5">
        <f>DepCour(AD$6,$B$10:AD$10,$B34,$K$3)</f>
        <v>70.96445970037239</v>
      </c>
      <c r="AE37" s="5">
        <f>DepCour(AE$6,$B$10:AE$10,$B34,$K$3)</f>
        <v>72.41271397997183</v>
      </c>
      <c r="AF37" s="5">
        <f>DepCour(AF$6,$B$10:AF$10,$B34,$K$3)</f>
        <v>73.89052446935901</v>
      </c>
      <c r="AG37" s="5">
        <f>DepCour(AG$6,$B$10:AG$10,$B34,$K$3)</f>
        <v>75.39849435648881</v>
      </c>
      <c r="AH37" s="5">
        <f>DepCour(AH$6,$B$10:AH$10,$B34,$K$3)</f>
        <v>76.93723913927425</v>
      </c>
      <c r="AI37" s="5">
        <f>DepCour(AI$6,$B$10:AI$10,$B34,$K$3)</f>
        <v>78.50738687681047</v>
      </c>
      <c r="AJ37" s="5">
        <f>DepCour(AJ$6,$B$10:AJ$10,$B34,$K$3)</f>
        <v>80.10957844572496</v>
      </c>
      <c r="AK37" s="5">
        <f>DepCour(AK$6,$B$10:AK$10,$B34,$K$3)</f>
        <v>81.74446780176017</v>
      </c>
      <c r="AL37" s="5">
        <f>DepCour(AL$6,$B$10:AL$10,$B34,$K$3)</f>
        <v>83.41272224669407</v>
      </c>
      <c r="AM37" s="5">
        <f>DepCour(AM$6,$B$10:AM$10,$B34,$K$3)</f>
        <v>85.11502270070822</v>
      </c>
      <c r="AN37" s="5">
        <f>DepCour(AN$6,$B$10:AN$10,$B34,$K$3)</f>
        <v>86.85206398031454</v>
      </c>
      <c r="AO37" s="5">
        <f>DepCour(AO$6,$B$10:AO$10,$B34,$K$3)</f>
        <v>88.62455508195362</v>
      </c>
      <c r="AQ37" s="22">
        <f>B34/$B$4*AO$10*$B$4*(1+$K$3*B34*procour(B34,$K$3))/(1+$K$3)/B34</f>
        <v>88.62455508195364</v>
      </c>
      <c r="AR37" s="27">
        <f>AQ37*(1+$K$3)^(AO$6-1)</f>
        <v>40.30612244897959</v>
      </c>
    </row>
    <row r="38" spans="1:44" ht="11.25">
      <c r="A38" s="2" t="s">
        <v>25</v>
      </c>
      <c r="B38" s="6">
        <f aca="true" t="shared" si="14" ref="B38:AO38">($K$2*B35+B37)/(1+$K$2)</f>
        <v>5.93692022263451</v>
      </c>
      <c r="C38" s="6">
        <f t="shared" si="14"/>
        <v>11.931581537995529</v>
      </c>
      <c r="D38" s="6">
        <f t="shared" si="14"/>
        <v>17.980101055605306</v>
      </c>
      <c r="E38" s="6">
        <f t="shared" si="14"/>
        <v>24.078336473681947</v>
      </c>
      <c r="F38" s="6">
        <f t="shared" si="14"/>
        <v>30.221875539197484</v>
      </c>
      <c r="G38" s="6">
        <f t="shared" si="14"/>
        <v>36.40602515375839</v>
      </c>
      <c r="H38" s="6">
        <f t="shared" si="14"/>
        <v>42.62580011458875</v>
      </c>
      <c r="I38" s="6">
        <f t="shared" si="14"/>
        <v>48.875911479592816</v>
      </c>
      <c r="J38" s="6">
        <f t="shared" si="14"/>
        <v>55.150754545162215</v>
      </c>
      <c r="K38" s="6">
        <f t="shared" si="14"/>
        <v>61.444396425072895</v>
      </c>
      <c r="L38" s="6">
        <f t="shared" si="14"/>
        <v>67.75056321848882</v>
      </c>
      <c r="M38" s="6">
        <f t="shared" si="14"/>
        <v>74.06262675475135</v>
      </c>
      <c r="N38" s="6">
        <f t="shared" si="14"/>
        <v>80.373590902287</v>
      </c>
      <c r="O38" s="6">
        <f t="shared" si="14"/>
        <v>86.67607742861094</v>
      </c>
      <c r="P38" s="6">
        <f t="shared" si="14"/>
        <v>92.96231139803717</v>
      </c>
      <c r="Q38" s="6">
        <f t="shared" si="14"/>
        <v>99.22410609333221</v>
      </c>
      <c r="R38" s="6">
        <f t="shared" si="14"/>
        <v>105.45284744716321</v>
      </c>
      <c r="S38" s="6">
        <f t="shared" si="14"/>
        <v>111.63947796879603</v>
      </c>
      <c r="T38" s="6">
        <f t="shared" si="14"/>
        <v>117.77448015109303</v>
      </c>
      <c r="U38" s="6">
        <f t="shared" si="14"/>
        <v>123.84785934244242</v>
      </c>
      <c r="V38" s="6">
        <f t="shared" si="14"/>
        <v>126.37536667596163</v>
      </c>
      <c r="W38" s="6">
        <f t="shared" si="14"/>
        <v>128.95445579179759</v>
      </c>
      <c r="X38" s="6">
        <f t="shared" si="14"/>
        <v>131.5861793793853</v>
      </c>
      <c r="Y38" s="6">
        <f t="shared" si="14"/>
        <v>134.2716116116177</v>
      </c>
      <c r="Z38" s="6">
        <f t="shared" si="14"/>
        <v>137.01184858328335</v>
      </c>
      <c r="AA38" s="6">
        <f t="shared" si="14"/>
        <v>139.8080087584524</v>
      </c>
      <c r="AB38" s="6">
        <f t="shared" si="14"/>
        <v>142.66123342699223</v>
      </c>
      <c r="AC38" s="6">
        <f t="shared" si="14"/>
        <v>145.57268717040026</v>
      </c>
      <c r="AD38" s="6">
        <f t="shared" si="14"/>
        <v>148.54355833714314</v>
      </c>
      <c r="AE38" s="6">
        <f t="shared" si="14"/>
        <v>151.57505952769708</v>
      </c>
      <c r="AF38" s="6">
        <f t="shared" si="14"/>
        <v>154.66842808948684</v>
      </c>
      <c r="AG38" s="6">
        <f t="shared" si="14"/>
        <v>157.82492662192536</v>
      </c>
      <c r="AH38" s="6">
        <f t="shared" si="14"/>
        <v>161.0458434917605</v>
      </c>
      <c r="AI38" s="6">
        <f t="shared" si="14"/>
        <v>164.3324933589393</v>
      </c>
      <c r="AJ38" s="6">
        <f t="shared" si="14"/>
        <v>167.68621771320338</v>
      </c>
      <c r="AK38" s="6">
        <f t="shared" si="14"/>
        <v>171.10838542163611</v>
      </c>
      <c r="AL38" s="6">
        <f t="shared" si="14"/>
        <v>174.60039328738384</v>
      </c>
      <c r="AM38" s="6">
        <f t="shared" si="14"/>
        <v>178.1636666197794</v>
      </c>
      <c r="AN38" s="6">
        <f t="shared" si="14"/>
        <v>181.79965981610144</v>
      </c>
      <c r="AO38" s="6">
        <f t="shared" si="14"/>
        <v>185.50985695520555</v>
      </c>
      <c r="AQ38" s="22">
        <f>$B34/$B$4*AO$10*$B$4*(1+$K$4*$B34*procour($B34,$K$3))/(1+$K$4)/$B34</f>
        <v>185.5098569552057</v>
      </c>
      <c r="AR38" s="27">
        <f>AQ38*(1+$K$3)^(AO$6-1)</f>
        <v>84.36920222634512</v>
      </c>
    </row>
    <row r="39" spans="1:41" ht="11.25">
      <c r="A39" s="12" t="s">
        <v>30</v>
      </c>
      <c r="B39" s="13">
        <f>B38</f>
        <v>5.93692022263451</v>
      </c>
      <c r="C39" s="14">
        <f aca="true" t="shared" si="15" ref="C39:AO39">B39+C38/(1+$K$2)^(C$6-1)</f>
        <v>16.78381252990317</v>
      </c>
      <c r="D39" s="14">
        <f t="shared" si="15"/>
        <v>31.64340017916375</v>
      </c>
      <c r="E39" s="14">
        <f t="shared" si="15"/>
        <v>49.733810752929294</v>
      </c>
      <c r="F39" s="14">
        <f t="shared" si="15"/>
        <v>70.37575839256968</v>
      </c>
      <c r="G39" s="14">
        <f t="shared" si="15"/>
        <v>92.98103569836621</v>
      </c>
      <c r="H39" s="14">
        <f t="shared" si="15"/>
        <v>117.04218861073487</v>
      </c>
      <c r="I39" s="14">
        <f t="shared" si="15"/>
        <v>142.12325937241332</v>
      </c>
      <c r="J39" s="14">
        <f t="shared" si="15"/>
        <v>167.85149339186697</v>
      </c>
      <c r="K39" s="14">
        <f t="shared" si="15"/>
        <v>193.90991557807519</v>
      </c>
      <c r="L39" s="14">
        <f t="shared" si="15"/>
        <v>220.0306905820348</v>
      </c>
      <c r="M39" s="14">
        <f t="shared" si="15"/>
        <v>245.98918943914248</v>
      </c>
      <c r="N39" s="14">
        <f t="shared" si="15"/>
        <v>271.5986924306559</v>
      </c>
      <c r="O39" s="14">
        <f t="shared" si="15"/>
        <v>296.7056646370236</v>
      </c>
      <c r="P39" s="14">
        <f t="shared" si="15"/>
        <v>321.18554670066106</v>
      </c>
      <c r="Q39" s="14">
        <f t="shared" si="15"/>
        <v>344.93900880516713</v>
      </c>
      <c r="R39" s="14">
        <f t="shared" si="15"/>
        <v>367.88862086170366</v>
      </c>
      <c r="S39" s="14">
        <f t="shared" si="15"/>
        <v>389.97589641662404</v>
      </c>
      <c r="T39" s="14">
        <f t="shared" si="15"/>
        <v>411.15867189878634</v>
      </c>
      <c r="U39" s="14">
        <f t="shared" si="15"/>
        <v>431.40878654803925</v>
      </c>
      <c r="V39" s="14">
        <f t="shared" si="15"/>
        <v>450.19367954363565</v>
      </c>
      <c r="W39" s="14">
        <f t="shared" si="15"/>
        <v>467.61936877888274</v>
      </c>
      <c r="X39" s="14">
        <f t="shared" si="15"/>
        <v>483.7842010935832</v>
      </c>
      <c r="Y39" s="14">
        <f t="shared" si="15"/>
        <v>498.77940732243337</v>
      </c>
      <c r="Z39" s="14">
        <f t="shared" si="15"/>
        <v>512.6896171822202</v>
      </c>
      <c r="AA39" s="14">
        <f t="shared" si="15"/>
        <v>525.5933369037293</v>
      </c>
      <c r="AB39" s="14">
        <f t="shared" si="15"/>
        <v>537.563392304016</v>
      </c>
      <c r="AC39" s="14">
        <f t="shared" si="15"/>
        <v>548.6673397996437</v>
      </c>
      <c r="AD39" s="14">
        <f t="shared" si="15"/>
        <v>558.96784768056</v>
      </c>
      <c r="AE39" s="14">
        <f t="shared" si="15"/>
        <v>568.5230497964378</v>
      </c>
      <c r="AF39" s="14">
        <f t="shared" si="15"/>
        <v>577.3868736516121</v>
      </c>
      <c r="AG39" s="14">
        <f t="shared" si="15"/>
        <v>585.609344760308</v>
      </c>
      <c r="AH39" s="14">
        <f t="shared" si="15"/>
        <v>593.2368689798775</v>
      </c>
      <c r="AI39" s="14">
        <f t="shared" si="15"/>
        <v>600.3124944154707</v>
      </c>
      <c r="AJ39" s="14">
        <f t="shared" si="15"/>
        <v>606.8761543742771</v>
      </c>
      <c r="AK39" s="14">
        <f t="shared" si="15"/>
        <v>612.9648927405168</v>
      </c>
      <c r="AL39" s="14">
        <f t="shared" si="15"/>
        <v>618.613073043151</v>
      </c>
      <c r="AM39" s="14">
        <f t="shared" si="15"/>
        <v>623.8525723962439</v>
      </c>
      <c r="AN39" s="14">
        <f t="shared" si="15"/>
        <v>628.7129614065342</v>
      </c>
      <c r="AO39" s="14">
        <f t="shared" si="15"/>
        <v>633.2216710635753</v>
      </c>
    </row>
    <row r="41" spans="1:3" ht="11.25">
      <c r="A41" s="1" t="s">
        <v>33</v>
      </c>
      <c r="B41" s="2">
        <f>B3</f>
        <v>15</v>
      </c>
      <c r="C41" s="2" t="s">
        <v>11</v>
      </c>
    </row>
    <row r="42" spans="1:44" ht="11.25">
      <c r="A42" s="2" t="s">
        <v>23</v>
      </c>
      <c r="B42" s="5">
        <f>vREMP(B$6,$B$10:B$10,$B41,$K$3,$K$2)</f>
        <v>50</v>
      </c>
      <c r="C42" s="5">
        <f>vREMP(C$6,$B$10:C$10,$B41,$K$3,$K$2)</f>
        <v>100.13230983730804</v>
      </c>
      <c r="D42" s="5">
        <f>vREMP(D$6,$B$10:D$10,$B41,$K$3,$K$2)</f>
        <v>150.19065460813144</v>
      </c>
      <c r="E42" s="5">
        <f>vREMP(E$6,$B$10:E$10,$B41,$K$3,$K$2)</f>
        <v>199.94119985381909</v>
      </c>
      <c r="F42" s="5">
        <f>vREMP(F$6,$B$10:F$10,$B41,$K$3,$K$2)</f>
        <v>249.11960408666192</v>
      </c>
      <c r="G42" s="5">
        <f>vREMP(G$6,$B$10:G$10,$B41,$K$3,$K$2)</f>
        <v>297.4277716383402</v>
      </c>
      <c r="H42" s="5">
        <f>vREMP(H$6,$B$10:H$10,$B41,$K$3,$K$2)</f>
        <v>344.5302757418273</v>
      </c>
      <c r="I42" s="5">
        <f>vREMP(I$6,$B$10:I$10,$B41,$K$3,$K$2)</f>
        <v>390.0504187457351</v>
      </c>
      <c r="J42" s="5">
        <f>vREMP(J$6,$B$10:J$10,$B41,$K$3,$K$2)</f>
        <v>433.56589304701424</v>
      </c>
      <c r="K42" s="5">
        <f>vREMP(K$6,$B$10:K$10,$B41,$K$3,$K$2)</f>
        <v>474.60400268347104</v>
      </c>
      <c r="L42" s="5">
        <f>vREMP(L$6,$B$10:L$10,$B41,$K$3,$K$2)</f>
        <v>512.6364015185976</v>
      </c>
      <c r="M42" s="5">
        <f>vREMP(M$6,$B$10:M$10,$B41,$K$3,$K$2)</f>
        <v>547.073299541274</v>
      </c>
      <c r="N42" s="5">
        <f>vREMP(N$6,$B$10:N$10,$B41,$K$3,$K$2)</f>
        <v>577.2570839519</v>
      </c>
      <c r="O42" s="5">
        <f>vREMP(O$6,$B$10:O$10,$B41,$K$3,$K$2)</f>
        <v>602.4552963703309</v>
      </c>
      <c r="P42" s="5">
        <f>vREMP(P$6,$B$10:P$10,$B41,$K$3,$K$2)</f>
        <v>621.8529016311181</v>
      </c>
      <c r="Q42" s="5">
        <f>vREMP(Q$6,$B$10:Q$10,$B41,$K$3,$K$2)</f>
        <v>634.5437771746103</v>
      </c>
      <c r="R42" s="5">
        <f>vREMP(R$6,$B$10:R$10,$B41,$K$3,$K$2)</f>
        <v>647.493650178174</v>
      </c>
      <c r="S42" s="5">
        <f>vREMP(S$6,$B$10:S$10,$B41,$K$3,$K$2)</f>
        <v>660.707806304259</v>
      </c>
      <c r="T42" s="5">
        <f>vREMP(T$6,$B$10:T$10,$B41,$K$3,$K$2)</f>
        <v>674.1916390859786</v>
      </c>
      <c r="U42" s="19">
        <f>vREMP(U$6,$B$10:U$10,$B41,$K$3,$K$2)</f>
        <v>687.9506521285497</v>
      </c>
      <c r="V42" s="5">
        <f>vREMP(V$6,$B$10:V$10,$B41,$K$3,$K$2)</f>
        <v>701.9904613556629</v>
      </c>
      <c r="W42" s="5">
        <f>vREMP(W$6,$B$10:W$10,$B41,$K$3,$K$2)</f>
        <v>716.3167973016969</v>
      </c>
      <c r="X42" s="5">
        <f>vREMP(X$6,$B$10:X$10,$B41,$K$3,$K$2)</f>
        <v>730.935507450711</v>
      </c>
      <c r="Y42" s="5">
        <f>vREMP(Y$6,$B$10:Y$10,$B41,$K$3,$K$2)</f>
        <v>745.8525586231747</v>
      </c>
      <c r="Z42" s="5">
        <f>vREMP(Z$6,$B$10:Z$10,$B41,$K$3,$K$2)</f>
        <v>761.0740394114026</v>
      </c>
      <c r="AA42" s="5">
        <f>vREMP(AA$6,$B$10:AA$10,$B41,$K$3,$K$2)</f>
        <v>776.6061626646966</v>
      </c>
      <c r="AB42" s="5">
        <f>vREMP(AB$6,$B$10:AB$10,$B41,$K$3,$K$2)</f>
        <v>792.4552680252007</v>
      </c>
      <c r="AC42" s="5">
        <f>vREMP(AC$6,$B$10:AC$10,$B41,$K$3,$K$2)</f>
        <v>808.627824515511</v>
      </c>
      <c r="AD42" s="5">
        <f>vREMP(AD$6,$B$10:AD$10,$B41,$K$3,$K$2)</f>
        <v>825.1304331790927</v>
      </c>
      <c r="AE42" s="5">
        <f>vREMP(AE$6,$B$10:AE$10,$B41,$K$3,$K$2)</f>
        <v>841.9698297745846</v>
      </c>
      <c r="AF42" s="5">
        <f>vREMP(AF$6,$B$10:AF$10,$B41,$K$3,$K$2)</f>
        <v>859.1528875250864</v>
      </c>
      <c r="AG42" s="5">
        <f>vREMP(AG$6,$B$10:AG$10,$B41,$K$3,$K$2)</f>
        <v>876.6866199235576</v>
      </c>
      <c r="AH42" s="5">
        <f>vREMP(AH$6,$B$10:AH$10,$B41,$K$3,$K$2)</f>
        <v>894.5781835954668</v>
      </c>
      <c r="AI42" s="5">
        <f>vREMP(AI$6,$B$10:AI$10,$B41,$K$3,$K$2)</f>
        <v>912.8348812198642</v>
      </c>
      <c r="AJ42" s="5">
        <f>vREMP(AJ$6,$B$10:AJ$10,$B41,$K$3,$K$2)</f>
        <v>931.4641645100655</v>
      </c>
      <c r="AK42" s="5">
        <f>vREMP(AK$6,$B$10:AK$10,$B41,$K$3,$K$2)</f>
        <v>950.4736372551689</v>
      </c>
      <c r="AL42" s="5">
        <f>vREMP(AL$6,$B$10:AL$10,$B41,$K$3,$K$2)</f>
        <v>969.8710584236418</v>
      </c>
      <c r="AM42" s="5">
        <f>vREMP(AM$6,$B$10:AM$10,$B41,$K$3,$K$2)</f>
        <v>989.6643453302468</v>
      </c>
      <c r="AN42" s="5">
        <f>vREMP(AN$6,$B$10:AN$10,$B41,$K$3,$K$2)</f>
        <v>1009.8615768675988</v>
      </c>
      <c r="AO42" s="5">
        <f>vREMP(AO$6,$B$10:AO$10,$B41,$K$3,$K$2)</f>
        <v>1030.4709968036723</v>
      </c>
      <c r="AQ42" s="22">
        <f>B41/$B$4*AO$10*$B$4*proremp(B41,$K$3,$K$2)</f>
        <v>1030.470996803672</v>
      </c>
      <c r="AR42" s="27">
        <f>AQ42*(1+$K$3)^(AO$6-1)</f>
        <v>468.6544280970768</v>
      </c>
    </row>
    <row r="43" spans="1:44" ht="11.25">
      <c r="A43" s="2" t="s">
        <v>24</v>
      </c>
      <c r="B43" s="5">
        <f aca="true" t="shared" si="16" ref="B43:AO43">B42-B44</f>
        <v>49.11190167404273</v>
      </c>
      <c r="C43" s="5">
        <f t="shared" si="16"/>
        <v>98.12901362520768</v>
      </c>
      <c r="D43" s="5">
        <f t="shared" si="16"/>
        <v>146.81707640185604</v>
      </c>
      <c r="E43" s="5">
        <f t="shared" si="16"/>
        <v>194.9113148499649</v>
      </c>
      <c r="F43" s="5">
        <f t="shared" si="16"/>
        <v>242.11319078456776</v>
      </c>
      <c r="G43" s="5">
        <f t="shared" si="16"/>
        <v>288.0868258910391</v>
      </c>
      <c r="H43" s="5">
        <f t="shared" si="16"/>
        <v>332.4550617551349</v>
      </c>
      <c r="I43" s="5">
        <f t="shared" si="16"/>
        <v>374.79512060762625</v>
      </c>
      <c r="J43" s="5">
        <f t="shared" si="16"/>
        <v>414.6338267249119</v>
      </c>
      <c r="K43" s="5">
        <f t="shared" si="16"/>
        <v>451.442344418027</v>
      </c>
      <c r="L43" s="5">
        <f t="shared" si="16"/>
        <v>484.63038413252855</v>
      </c>
      <c r="M43" s="5">
        <f t="shared" si="16"/>
        <v>513.5398233307311</v>
      </c>
      <c r="N43" s="5">
        <f t="shared" si="16"/>
        <v>537.4376834915871</v>
      </c>
      <c r="O43" s="5">
        <f t="shared" si="16"/>
        <v>555.5083986936245</v>
      </c>
      <c r="P43" s="5">
        <f t="shared" si="16"/>
        <v>566.8453047894128</v>
      </c>
      <c r="Q43" s="5">
        <f t="shared" si="16"/>
        <v>578.4135763157274</v>
      </c>
      <c r="R43" s="5">
        <f t="shared" si="16"/>
        <v>590.2179350160485</v>
      </c>
      <c r="S43" s="5">
        <f t="shared" si="16"/>
        <v>602.2631989959676</v>
      </c>
      <c r="T43" s="5">
        <f t="shared" si="16"/>
        <v>614.554284689763</v>
      </c>
      <c r="U43" s="5">
        <f t="shared" si="16"/>
        <v>627.0962088671051</v>
      </c>
      <c r="V43" s="5">
        <f t="shared" si="16"/>
        <v>639.8940906807195</v>
      </c>
      <c r="W43" s="5">
        <f t="shared" si="16"/>
        <v>652.9531537558362</v>
      </c>
      <c r="X43" s="5">
        <f t="shared" si="16"/>
        <v>666.2787283222818</v>
      </c>
      <c r="Y43" s="5">
        <f t="shared" si="16"/>
        <v>679.8762533900837</v>
      </c>
      <c r="Z43" s="5">
        <f t="shared" si="16"/>
        <v>693.751278969473</v>
      </c>
      <c r="AA43" s="5">
        <f t="shared" si="16"/>
        <v>707.909468336197</v>
      </c>
      <c r="AB43" s="5">
        <f t="shared" si="16"/>
        <v>722.3566003430582</v>
      </c>
      <c r="AC43" s="5">
        <f t="shared" si="16"/>
        <v>737.0985717786309</v>
      </c>
      <c r="AD43" s="5">
        <f t="shared" si="16"/>
        <v>752.1413997741131</v>
      </c>
      <c r="AE43" s="5">
        <f t="shared" si="16"/>
        <v>767.4912242592992</v>
      </c>
      <c r="AF43" s="5">
        <f t="shared" si="16"/>
        <v>783.1543104686727</v>
      </c>
      <c r="AG43" s="5">
        <f t="shared" si="16"/>
        <v>799.1370514986456</v>
      </c>
      <c r="AH43" s="5">
        <f t="shared" si="16"/>
        <v>815.4459709169853</v>
      </c>
      <c r="AI43" s="5">
        <f t="shared" si="16"/>
        <v>832.0877254254953</v>
      </c>
      <c r="AJ43" s="5">
        <f t="shared" si="16"/>
        <v>849.069107577036</v>
      </c>
      <c r="AK43" s="5">
        <f t="shared" si="16"/>
        <v>866.397048547996</v>
      </c>
      <c r="AL43" s="5">
        <f t="shared" si="16"/>
        <v>884.0786209673429</v>
      </c>
      <c r="AM43" s="5">
        <f t="shared" si="16"/>
        <v>902.1210418034111</v>
      </c>
      <c r="AN43" s="5">
        <f t="shared" si="16"/>
        <v>920.5316753096033</v>
      </c>
      <c r="AO43" s="5">
        <f t="shared" si="16"/>
        <v>939.3180360302074</v>
      </c>
      <c r="AQ43" s="22"/>
      <c r="AR43" s="27"/>
    </row>
    <row r="44" spans="1:44" ht="11.25">
      <c r="A44" s="2" t="s">
        <v>2</v>
      </c>
      <c r="B44" s="5">
        <f>depremp(B$6,$B$10:B$10,$B41,$K$3,$K$2)</f>
        <v>0.8880983259572761</v>
      </c>
      <c r="C44" s="5">
        <f>depremp(C$6,$B$10:C$10,$B41,$K$3,$K$2)</f>
        <v>2.0032962121003712</v>
      </c>
      <c r="D44" s="5">
        <f>depremp(D$6,$B$10:D$10,$B41,$K$3,$K$2)</f>
        <v>3.3735782062753974</v>
      </c>
      <c r="E44" s="5">
        <f>depremp(E$6,$B$10:E$10,$B41,$K$3,$K$2)</f>
        <v>5.029885003854197</v>
      </c>
      <c r="F44" s="5">
        <f>depremp(F$6,$B$10:F$10,$B41,$K$3,$K$2)</f>
        <v>7.006413302094157</v>
      </c>
      <c r="G44" s="5">
        <f>depremp(G$6,$B$10:G$10,$B41,$K$3,$K$2)</f>
        <v>9.340945747301095</v>
      </c>
      <c r="H44" s="5">
        <f>depremp(H$6,$B$10:H$10,$B41,$K$3,$K$2)</f>
        <v>12.075213986692413</v>
      </c>
      <c r="I44" s="5">
        <f>depremp(I$6,$B$10:I$10,$B41,$K$3,$K$2)</f>
        <v>15.255298138108872</v>
      </c>
      <c r="J44" s="5">
        <f>depremp(J$6,$B$10:J$10,$B41,$K$3,$K$2)</f>
        <v>18.932066322102344</v>
      </c>
      <c r="K44" s="5">
        <f>depremp(K$6,$B$10:K$10,$B41,$K$3,$K$2)</f>
        <v>23.161658265444007</v>
      </c>
      <c r="L44" s="5">
        <f>depremp(L$6,$B$10:L$10,$B41,$K$3,$K$2)</f>
        <v>28.00601738606905</v>
      </c>
      <c r="M44" s="5">
        <f>depremp(M$6,$B$10:M$10,$B41,$K$3,$K$2)</f>
        <v>33.53347621054288</v>
      </c>
      <c r="N44" s="5">
        <f>depremp(N$6,$B$10:N$10,$B41,$K$3,$K$2)</f>
        <v>39.81940046031288</v>
      </c>
      <c r="O44" s="5">
        <f>depremp(O$6,$B$10:O$10,$B41,$K$3,$K$2)</f>
        <v>46.94689767670633</v>
      </c>
      <c r="P44" s="5">
        <f>depremp(P$6,$B$10:P$10,$B41,$K$3,$K$2)</f>
        <v>55.00759684170533</v>
      </c>
      <c r="Q44" s="5">
        <f>depremp(Q$6,$B$10:Q$10,$B41,$K$3,$K$2)</f>
        <v>56.130200858883</v>
      </c>
      <c r="R44" s="5">
        <f>depremp(R$6,$B$10:R$10,$B41,$K$3,$K$2)</f>
        <v>57.275715162125515</v>
      </c>
      <c r="S44" s="5">
        <f>depremp(S$6,$B$10:S$10,$B41,$K$3,$K$2)</f>
        <v>58.44460730829134</v>
      </c>
      <c r="T44" s="5">
        <f>depremp(T$6,$B$10:T$10,$B41,$K$3,$K$2)</f>
        <v>59.63735439621565</v>
      </c>
      <c r="U44" s="20">
        <f>depremp(U$6,$B$10:U$10,$B41,$K$3,$K$2)</f>
        <v>60.85444326144454</v>
      </c>
      <c r="V44" s="5">
        <f>depremp(V$6,$B$10:V$10,$B41,$K$3,$K$2)</f>
        <v>62.096370674943415</v>
      </c>
      <c r="W44" s="5">
        <f>depremp(W$6,$B$10:W$10,$B41,$K$3,$K$2)</f>
        <v>63.363643545860626</v>
      </c>
      <c r="X44" s="5">
        <f>depremp(X$6,$B$10:X$10,$B41,$K$3,$K$2)</f>
        <v>64.65677912842924</v>
      </c>
      <c r="Y44" s="5">
        <f>depremp(Y$6,$B$10:Y$10,$B41,$K$3,$K$2)</f>
        <v>65.97630523309103</v>
      </c>
      <c r="Z44" s="5">
        <f>depremp(Z$6,$B$10:Z$10,$B41,$K$3,$K$2)</f>
        <v>67.32276044192965</v>
      </c>
      <c r="AA44" s="5">
        <f>depremp(AA$6,$B$10:AA$10,$B41,$K$3,$K$2)</f>
        <v>68.69669432849963</v>
      </c>
      <c r="AB44" s="5">
        <f>depremp(AB$6,$B$10:AB$10,$B41,$K$3,$K$2)</f>
        <v>70.09866768214248</v>
      </c>
      <c r="AC44" s="5">
        <f>depremp(AC$6,$B$10:AC$10,$B41,$K$3,$K$2)</f>
        <v>71.52925273688008</v>
      </c>
      <c r="AD44" s="5">
        <f>depremp(AD$6,$B$10:AD$10,$B41,$K$3,$K$2)</f>
        <v>72.9890334049797</v>
      </c>
      <c r="AE44" s="5">
        <f>depremp(AE$6,$B$10:AE$10,$B41,$K$3,$K$2)</f>
        <v>74.47860551528541</v>
      </c>
      <c r="AF44" s="5">
        <f>depremp(AF$6,$B$10:AF$10,$B41,$K$3,$K$2)</f>
        <v>75.99857705641365</v>
      </c>
      <c r="AG44" s="5">
        <f>depremp(AG$6,$B$10:AG$10,$B41,$K$3,$K$2)</f>
        <v>77.54956842491193</v>
      </c>
      <c r="AH44" s="5">
        <f>depremp(AH$6,$B$10:AH$10,$B41,$K$3,$K$2)</f>
        <v>79.13221267848154</v>
      </c>
      <c r="AI44" s="5">
        <f>depremp(AI$6,$B$10:AI$10,$B41,$K$3,$K$2)</f>
        <v>80.74715579436891</v>
      </c>
      <c r="AJ44" s="5">
        <f>depremp(AJ$6,$B$10:AJ$10,$B41,$K$3,$K$2)</f>
        <v>82.39505693302951</v>
      </c>
      <c r="AK44" s="5">
        <f>depremp(AK$6,$B$10:AK$10,$B41,$K$3,$K$2)</f>
        <v>84.07658870717299</v>
      </c>
      <c r="AL44" s="5">
        <f>depremp(AL$6,$B$10:AL$10,$B41,$K$3,$K$2)</f>
        <v>85.79243745629896</v>
      </c>
      <c r="AM44" s="5">
        <f>depremp(AM$6,$B$10:AM$10,$B41,$K$3,$K$2)</f>
        <v>87.54330352683569</v>
      </c>
      <c r="AN44" s="5">
        <f>depremp(AN$6,$B$10:AN$10,$B41,$K$3,$K$2)</f>
        <v>89.32990155799557</v>
      </c>
      <c r="AO44" s="5">
        <f>depremp(AO$6,$B$10:AO$10,$B41,$K$3,$K$2)</f>
        <v>91.15296077346488</v>
      </c>
      <c r="AQ44" s="22">
        <f>B41/$B$4*AO$10*$B$4*(1+$K$3*B41*proremp(B41,$K$3,$K$2))/(1+$K$3)/B41</f>
        <v>91.15296077346493</v>
      </c>
      <c r="AR44" s="27">
        <f>AQ44*(1+$K$3)^(AO$6-1)</f>
        <v>41.45603207965149</v>
      </c>
    </row>
    <row r="45" spans="1:44" ht="11.25">
      <c r="A45" s="2" t="s">
        <v>25</v>
      </c>
      <c r="B45" s="6">
        <f aca="true" t="shared" si="17" ref="B45:AO45">($K$2*B42+B44)/(1+$K$2)</f>
        <v>5.35281665996116</v>
      </c>
      <c r="C45" s="6">
        <f t="shared" si="17"/>
        <v>10.924115632573796</v>
      </c>
      <c r="D45" s="6">
        <f t="shared" si="17"/>
        <v>16.720585151898675</v>
      </c>
      <c r="E45" s="6">
        <f t="shared" si="17"/>
        <v>22.749095444760098</v>
      </c>
      <c r="F45" s="6">
        <f t="shared" si="17"/>
        <v>29.016703373418498</v>
      </c>
      <c r="G45" s="6">
        <f t="shared" si="17"/>
        <v>35.53065719194101</v>
      </c>
      <c r="H45" s="6">
        <f t="shared" si="17"/>
        <v>42.2984014189774</v>
      </c>
      <c r="I45" s="6">
        <f t="shared" si="17"/>
        <v>49.32758182971126</v>
      </c>
      <c r="J45" s="6">
        <f t="shared" si="17"/>
        <v>56.62605056982161</v>
      </c>
      <c r="K45" s="6">
        <f t="shared" si="17"/>
        <v>64.20187139435556</v>
      </c>
      <c r="L45" s="6">
        <f t="shared" si="17"/>
        <v>72.06332503448073</v>
      </c>
      <c r="M45" s="6">
        <f t="shared" si="17"/>
        <v>80.21891469515481</v>
      </c>
      <c r="N45" s="6">
        <f t="shared" si="17"/>
        <v>88.67737168682079</v>
      </c>
      <c r="O45" s="6">
        <f t="shared" si="17"/>
        <v>97.44766119430855</v>
      </c>
      <c r="P45" s="6">
        <f t="shared" si="17"/>
        <v>106.5389881861974</v>
      </c>
      <c r="Q45" s="6">
        <f t="shared" si="17"/>
        <v>108.71325325122183</v>
      </c>
      <c r="R45" s="6">
        <f t="shared" si="17"/>
        <v>110.93189107267536</v>
      </c>
      <c r="S45" s="6">
        <f t="shared" si="17"/>
        <v>113.19580721701567</v>
      </c>
      <c r="T45" s="6">
        <f t="shared" si="17"/>
        <v>115.50592573164865</v>
      </c>
      <c r="U45" s="6">
        <f t="shared" si="17"/>
        <v>117.86318952209044</v>
      </c>
      <c r="V45" s="6">
        <f t="shared" si="17"/>
        <v>120.26856073682701</v>
      </c>
      <c r="W45" s="6">
        <f t="shared" si="17"/>
        <v>122.72302116002756</v>
      </c>
      <c r="X45" s="6">
        <f t="shared" si="17"/>
        <v>125.22757261227302</v>
      </c>
      <c r="Y45" s="6">
        <f t="shared" si="17"/>
        <v>127.78323735946225</v>
      </c>
      <c r="Z45" s="6">
        <f t="shared" si="17"/>
        <v>130.39105853006353</v>
      </c>
      <c r="AA45" s="6">
        <f t="shared" si="17"/>
        <v>133.05210054088118</v>
      </c>
      <c r="AB45" s="6">
        <f t="shared" si="17"/>
        <v>135.7674495315114</v>
      </c>
      <c r="AC45" s="6">
        <f t="shared" si="17"/>
        <v>138.5382138076647</v>
      </c>
      <c r="AD45" s="6">
        <f t="shared" si="17"/>
        <v>141.36552429353543</v>
      </c>
      <c r="AE45" s="6">
        <f t="shared" si="17"/>
        <v>144.2505349934035</v>
      </c>
      <c r="AF45" s="6">
        <f t="shared" si="17"/>
        <v>147.19442346265663</v>
      </c>
      <c r="AG45" s="6">
        <f t="shared" si="17"/>
        <v>150.19839128842517</v>
      </c>
      <c r="AH45" s="6">
        <f t="shared" si="17"/>
        <v>153.26366458002565</v>
      </c>
      <c r="AI45" s="6">
        <f t="shared" si="17"/>
        <v>156.3914944694139</v>
      </c>
      <c r="AJ45" s="6">
        <f t="shared" si="17"/>
        <v>159.58315762185094</v>
      </c>
      <c r="AK45" s="6">
        <f t="shared" si="17"/>
        <v>162.8399567569908</v>
      </c>
      <c r="AL45" s="6">
        <f t="shared" si="17"/>
        <v>166.16322118060285</v>
      </c>
      <c r="AM45" s="6">
        <f t="shared" si="17"/>
        <v>169.55430732714575</v>
      </c>
      <c r="AN45" s="6">
        <f t="shared" si="17"/>
        <v>173.01459931341407</v>
      </c>
      <c r="AO45" s="6">
        <f t="shared" si="17"/>
        <v>176.54550950348374</v>
      </c>
      <c r="AQ45" s="22">
        <f>$B41/$B$4*AO$10*$B$4*(1+$K$4*$B41*proremp($B41,$K$3,$K$2))/(1+$K$4)/$B41</f>
        <v>176.54550950348383</v>
      </c>
      <c r="AR45" s="27">
        <f>AQ45*(1+$K$3)^(AO$6-1)</f>
        <v>80.29224989941746</v>
      </c>
    </row>
    <row r="46" spans="1:41" ht="11.25">
      <c r="A46" s="12" t="s">
        <v>30</v>
      </c>
      <c r="B46" s="13">
        <f>B45</f>
        <v>5.35281665996116</v>
      </c>
      <c r="C46" s="14">
        <f aca="true" t="shared" si="18" ref="C46:AO46">B46+C45/(1+$K$2)^(C$6-1)</f>
        <v>15.283830871391883</v>
      </c>
      <c r="D46" s="14">
        <f t="shared" si="18"/>
        <v>29.102496286184174</v>
      </c>
      <c r="E46" s="14">
        <f t="shared" si="18"/>
        <v>46.19422840095509</v>
      </c>
      <c r="F46" s="14">
        <f t="shared" si="18"/>
        <v>66.01302723533695</v>
      </c>
      <c r="G46" s="14">
        <f t="shared" si="18"/>
        <v>88.07476990811824</v>
      </c>
      <c r="H46" s="14">
        <f t="shared" si="18"/>
        <v>111.95111479208067</v>
      </c>
      <c r="I46" s="14">
        <f t="shared" si="18"/>
        <v>137.2639638606865</v>
      </c>
      <c r="J46" s="14">
        <f t="shared" si="18"/>
        <v>163.68043436363783</v>
      </c>
      <c r="K46" s="14">
        <f t="shared" si="18"/>
        <v>190.90829511704058</v>
      </c>
      <c r="L46" s="14">
        <f t="shared" si="18"/>
        <v>218.6918264980638</v>
      </c>
      <c r="M46" s="14">
        <f t="shared" si="18"/>
        <v>246.80806672173375</v>
      </c>
      <c r="N46" s="14">
        <f t="shared" si="18"/>
        <v>275.06341017471067</v>
      </c>
      <c r="O46" s="14">
        <f t="shared" si="18"/>
        <v>303.29052651135095</v>
      </c>
      <c r="P46" s="14">
        <f t="shared" si="18"/>
        <v>331.3455719029229</v>
      </c>
      <c r="Q46" s="14">
        <f t="shared" si="18"/>
        <v>357.3706603923218</v>
      </c>
      <c r="R46" s="14">
        <f t="shared" si="18"/>
        <v>381.51267197803503</v>
      </c>
      <c r="S46" s="14">
        <f t="shared" si="18"/>
        <v>403.907858977769</v>
      </c>
      <c r="T46" s="14">
        <f t="shared" si="18"/>
        <v>424.68261500720683</v>
      </c>
      <c r="U46" s="14">
        <f t="shared" si="18"/>
        <v>443.95418831837367</v>
      </c>
      <c r="V46" s="14">
        <f t="shared" si="18"/>
        <v>461.83134352353767</v>
      </c>
      <c r="W46" s="14">
        <f t="shared" si="18"/>
        <v>478.41497543927426</v>
      </c>
      <c r="X46" s="14">
        <f t="shared" si="18"/>
        <v>493.7986785150967</v>
      </c>
      <c r="Y46" s="14">
        <f t="shared" si="18"/>
        <v>508.06927506038653</v>
      </c>
      <c r="Z46" s="14">
        <f t="shared" si="18"/>
        <v>521.3073052508223</v>
      </c>
      <c r="AA46" s="14">
        <f t="shared" si="18"/>
        <v>533.587481679798</v>
      </c>
      <c r="AB46" s="14">
        <f t="shared" si="18"/>
        <v>544.9791110202207</v>
      </c>
      <c r="AC46" s="14">
        <f t="shared" si="18"/>
        <v>555.5464851764569</v>
      </c>
      <c r="AD46" s="14">
        <f t="shared" si="18"/>
        <v>565.3492441340045</v>
      </c>
      <c r="AE46" s="14">
        <f t="shared" si="18"/>
        <v>574.4427125547351</v>
      </c>
      <c r="AF46" s="14">
        <f t="shared" si="18"/>
        <v>582.8782120173794</v>
      </c>
      <c r="AG46" s="14">
        <f t="shared" si="18"/>
        <v>590.7033506654725</v>
      </c>
      <c r="AH46" s="14">
        <f t="shared" si="18"/>
        <v>597.9622918974698</v>
      </c>
      <c r="AI46" s="14">
        <f t="shared" si="18"/>
        <v>604.6960036154635</v>
      </c>
      <c r="AJ46" s="14">
        <f t="shared" si="18"/>
        <v>610.9424894392054</v>
      </c>
      <c r="AK46" s="14">
        <f t="shared" si="18"/>
        <v>616.7370031903574</v>
      </c>
      <c r="AL46" s="14">
        <f t="shared" si="18"/>
        <v>622.1122478574744</v>
      </c>
      <c r="AM46" s="14">
        <f t="shared" si="18"/>
        <v>627.0985601646329</v>
      </c>
      <c r="AN46" s="14">
        <f t="shared" si="18"/>
        <v>631.7240817853736</v>
      </c>
      <c r="AO46" s="14">
        <f t="shared" si="18"/>
        <v>636.01491816825</v>
      </c>
    </row>
    <row r="48" spans="1:3" ht="11.25">
      <c r="A48" s="1" t="s">
        <v>34</v>
      </c>
      <c r="B48" s="2">
        <f>B4</f>
        <v>20</v>
      </c>
      <c r="C48" s="2" t="s">
        <v>11</v>
      </c>
    </row>
    <row r="49" spans="1:44" ht="11.25">
      <c r="A49" s="2" t="s">
        <v>23</v>
      </c>
      <c r="B49" s="5">
        <f>vREMP(B$6,$B$10:B$10,$B48,$K$3,$K$2)</f>
        <v>50</v>
      </c>
      <c r="C49" s="5">
        <f>vREMP(C$6,$B$10:C$10,$B48,$K$3,$K$2)</f>
        <v>100.90096736424009</v>
      </c>
      <c r="D49" s="5">
        <f>vREMP(D$6,$B$10:D$10,$B48,$K$3,$K$2)</f>
        <v>152.60486671823028</v>
      </c>
      <c r="E49" s="5">
        <f>vREMP(E$6,$B$10:E$10,$B48,$K$3,$K$2)</f>
        <v>204.99788750728533</v>
      </c>
      <c r="F49" s="5">
        <f>vREMP(F$6,$B$10:F$10,$B48,$K$3,$K$2)</f>
        <v>257.9487010937163</v>
      </c>
      <c r="G49" s="5">
        <f>vREMP(G$6,$B$10:G$10,$B48,$K$3,$K$2)</f>
        <v>311.3065393004897</v>
      </c>
      <c r="H49" s="5">
        <f>vREMP(H$6,$B$10:H$10,$B48,$K$3,$K$2)</f>
        <v>364.89907644087305</v>
      </c>
      <c r="I49" s="5">
        <f>vREMP(I$6,$B$10:I$10,$B48,$K$3,$K$2)</f>
        <v>418.5300950750203</v>
      </c>
      <c r="J49" s="5">
        <f>vREMP(J$6,$B$10:J$10,$B48,$K$3,$K$2)</f>
        <v>471.97691375597407</v>
      </c>
      <c r="K49" s="5">
        <f>vREMP(K$6,$B$10:K$10,$B48,$K$3,$K$2)</f>
        <v>524.9875528511732</v>
      </c>
      <c r="L49" s="5">
        <f>vREMP(L$6,$B$10:L$10,$B48,$K$3,$K$2)</f>
        <v>577.2776121314672</v>
      </c>
      <c r="M49" s="5">
        <f>vREMP(M$6,$B$10:M$10,$B48,$K$3,$K$2)</f>
        <v>628.5268311860806</v>
      </c>
      <c r="N49" s="5">
        <f>vREMP(N$6,$B$10:N$10,$B48,$K$3,$K$2)</f>
        <v>678.3753008249906</v>
      </c>
      <c r="O49" s="5">
        <f>vREMP(O$6,$B$10:O$10,$B48,$K$3,$K$2)</f>
        <v>726.4192904434383</v>
      </c>
      <c r="P49" s="5">
        <f>vREMP(P$6,$B$10:P$10,$B48,$K$3,$K$2)</f>
        <v>772.2066528178085</v>
      </c>
      <c r="Q49" s="5">
        <f>vREMP(Q$6,$B$10:Q$10,$B48,$K$3,$K$2)</f>
        <v>815.2317639460109</v>
      </c>
      <c r="R49" s="5">
        <f>vREMP(R$6,$B$10:R$10,$B48,$K$3,$K$2)</f>
        <v>854.9299513037104</v>
      </c>
      <c r="S49" s="5">
        <f>vREMP(S$6,$B$10:S$10,$B48,$K$3,$K$2)</f>
        <v>890.6713592217233</v>
      </c>
      <c r="T49" s="5">
        <f>vREMP(T$6,$B$10:T$10,$B48,$K$3,$K$2)</f>
        <v>921.7541949571815</v>
      </c>
      <c r="U49" s="19">
        <f>vREMP(U$6,$B$10:U$10,$B48,$K$3,$K$2)</f>
        <v>947.3972933850099</v>
      </c>
      <c r="V49" s="5">
        <f>vREMP(V$6,$B$10:V$10,$B48,$K$3,$K$2)</f>
        <v>966.7319320255202</v>
      </c>
      <c r="W49" s="5">
        <f>vREMP(W$6,$B$10:W$10,$B48,$K$3,$K$2)</f>
        <v>986.4611551280818</v>
      </c>
      <c r="X49" s="5">
        <f>vREMP(X$6,$B$10:X$10,$B48,$K$3,$K$2)</f>
        <v>1006.5930154368183</v>
      </c>
      <c r="Y49" s="5">
        <f>vREMP(Y$6,$B$10:Y$10,$B48,$K$3,$K$2)</f>
        <v>1027.1357300375698</v>
      </c>
      <c r="Z49" s="5">
        <f>vREMP(Z$6,$B$10:Z$10,$B48,$K$3,$K$2)</f>
        <v>1048.097683711806</v>
      </c>
      <c r="AA49" s="5">
        <f>vREMP(AA$6,$B$10:AA$10,$B48,$K$3,$K$2)</f>
        <v>1069.4874323589856</v>
      </c>
      <c r="AB49" s="5">
        <f>vREMP(AB$6,$B$10:AB$10,$B48,$K$3,$K$2)</f>
        <v>1091.313706488761</v>
      </c>
      <c r="AC49" s="5">
        <f>vREMP(AC$6,$B$10:AC$10,$B48,$K$3,$K$2)</f>
        <v>1113.5854147844502</v>
      </c>
      <c r="AD49" s="5">
        <f>vREMP(AD$6,$B$10:AD$10,$B48,$K$3,$K$2)</f>
        <v>1136.3116477392348</v>
      </c>
      <c r="AE49" s="5">
        <f>vREMP(AE$6,$B$10:AE$10,$B48,$K$3,$K$2)</f>
        <v>1159.5016813665661</v>
      </c>
      <c r="AF49" s="5">
        <f>vREMP(AF$6,$B$10:AF$10,$B48,$K$3,$K$2)</f>
        <v>1183.1649809862922</v>
      </c>
      <c r="AG49" s="5">
        <f>vREMP(AG$6,$B$10:AG$10,$B48,$K$3,$K$2)</f>
        <v>1207.3112050880532</v>
      </c>
      <c r="AH49" s="5">
        <f>vREMP(AH$6,$B$10:AH$10,$B48,$K$3,$K$2)</f>
        <v>1231.9502092735233</v>
      </c>
      <c r="AI49" s="5">
        <f>vREMP(AI$6,$B$10:AI$10,$B48,$K$3,$K$2)</f>
        <v>1257.0920502791057</v>
      </c>
      <c r="AJ49" s="5">
        <f>vREMP(AJ$6,$B$10:AJ$10,$B48,$K$3,$K$2)</f>
        <v>1282.7469900807203</v>
      </c>
      <c r="AK49" s="5">
        <f>vREMP(AK$6,$B$10:AK$10,$B48,$K$3,$K$2)</f>
        <v>1308.9255000823675</v>
      </c>
      <c r="AL49" s="5">
        <f>vREMP(AL$6,$B$10:AL$10,$B48,$K$3,$K$2)</f>
        <v>1335.6382653901708</v>
      </c>
      <c r="AM49" s="5">
        <f>vREMP(AM$6,$B$10:AM$10,$B48,$K$3,$K$2)</f>
        <v>1362.896189173644</v>
      </c>
      <c r="AN49" s="5">
        <f>vREMP(AN$6,$B$10:AN$10,$B48,$K$3,$K$2)</f>
        <v>1390.7103971159631</v>
      </c>
      <c r="AO49" s="5">
        <f>vREMP(AO$6,$B$10:AO$10,$B48,$K$3,$K$2)</f>
        <v>1419.0922419550643</v>
      </c>
      <c r="AQ49" s="22">
        <f>AO$10*$B$4*proremp(B48,$K$3,$K$2)</f>
        <v>1419.0922419550648</v>
      </c>
      <c r="AR49" s="27">
        <f>AQ49*(1+$K$3)^(AO$6-1)</f>
        <v>645.3979443704411</v>
      </c>
    </row>
    <row r="50" spans="1:44" ht="11.25">
      <c r="A50" s="2" t="s">
        <v>24</v>
      </c>
      <c r="B50" s="5">
        <f aca="true" t="shared" si="19" ref="B50:AO50">B49-B51</f>
        <v>49.88055920097478</v>
      </c>
      <c r="C50" s="5">
        <f t="shared" si="19"/>
        <v>100.5432257353065</v>
      </c>
      <c r="D50" s="5">
        <f t="shared" si="19"/>
        <v>151.87376405532228</v>
      </c>
      <c r="E50" s="5">
        <f t="shared" si="19"/>
        <v>203.74041185701927</v>
      </c>
      <c r="F50" s="5">
        <f t="shared" si="19"/>
        <v>255.9919584467173</v>
      </c>
      <c r="G50" s="5">
        <f t="shared" si="19"/>
        <v>308.4556265900848</v>
      </c>
      <c r="H50" s="5">
        <f t="shared" si="19"/>
        <v>360.93473808442</v>
      </c>
      <c r="I50" s="5">
        <f t="shared" si="19"/>
        <v>413.2061413165861</v>
      </c>
      <c r="J50" s="5">
        <f t="shared" si="19"/>
        <v>465.0173768926141</v>
      </c>
      <c r="K50" s="5">
        <f t="shared" si="19"/>
        <v>516.0835550308966</v>
      </c>
      <c r="L50" s="5">
        <f t="shared" si="19"/>
        <v>566.083915777335</v>
      </c>
      <c r="M50" s="5">
        <f t="shared" si="19"/>
        <v>614.6580402038217</v>
      </c>
      <c r="N50" s="5">
        <f t="shared" si="19"/>
        <v>661.4016775646945</v>
      </c>
      <c r="O50" s="5">
        <f t="shared" si="19"/>
        <v>705.862149880315</v>
      </c>
      <c r="P50" s="5">
        <f t="shared" si="19"/>
        <v>747.5332915608133</v>
      </c>
      <c r="Q50" s="5">
        <f t="shared" si="19"/>
        <v>785.8498774412639</v>
      </c>
      <c r="R50" s="5">
        <f t="shared" si="19"/>
        <v>820.1814879335127</v>
      </c>
      <c r="S50" s="5">
        <f t="shared" si="19"/>
        <v>849.8257548671706</v>
      </c>
      <c r="T50" s="5">
        <f t="shared" si="19"/>
        <v>874.0009259462231</v>
      </c>
      <c r="U50" s="5">
        <f t="shared" si="19"/>
        <v>891.8376795369625</v>
      </c>
      <c r="V50" s="5">
        <f t="shared" si="19"/>
        <v>910.0384485071045</v>
      </c>
      <c r="W50" s="5">
        <f t="shared" si="19"/>
        <v>928.6106617419433</v>
      </c>
      <c r="X50" s="5">
        <f t="shared" si="19"/>
        <v>947.561899736677</v>
      </c>
      <c r="Y50" s="5">
        <f t="shared" si="19"/>
        <v>966.8998976904869</v>
      </c>
      <c r="Z50" s="5">
        <f t="shared" si="19"/>
        <v>986.6325486637621</v>
      </c>
      <c r="AA50" s="5">
        <f t="shared" si="19"/>
        <v>1006.7679067997573</v>
      </c>
      <c r="AB50" s="5">
        <f t="shared" si="19"/>
        <v>1027.3141906119972</v>
      </c>
      <c r="AC50" s="5">
        <f t="shared" si="19"/>
        <v>1048.279786338773</v>
      </c>
      <c r="AD50" s="5">
        <f t="shared" si="19"/>
        <v>1069.6732513660947</v>
      </c>
      <c r="AE50" s="5">
        <f t="shared" si="19"/>
        <v>1091.5033177205048</v>
      </c>
      <c r="AF50" s="5">
        <f t="shared" si="19"/>
        <v>1113.7788956331685</v>
      </c>
      <c r="AG50" s="5">
        <f t="shared" si="19"/>
        <v>1136.5090771767025</v>
      </c>
      <c r="AH50" s="5">
        <f t="shared" si="19"/>
        <v>1159.7031399762266</v>
      </c>
      <c r="AI50" s="5">
        <f t="shared" si="19"/>
        <v>1183.3705509961499</v>
      </c>
      <c r="AJ50" s="5">
        <f t="shared" si="19"/>
        <v>1207.5209704042347</v>
      </c>
      <c r="AK50" s="5">
        <f t="shared" si="19"/>
        <v>1232.1642555145252</v>
      </c>
      <c r="AL50" s="5">
        <f t="shared" si="19"/>
        <v>1257.3104648107399</v>
      </c>
      <c r="AM50" s="5">
        <f t="shared" si="19"/>
        <v>1282.9698620517756</v>
      </c>
      <c r="AN50" s="5">
        <f t="shared" si="19"/>
        <v>1309.1529204609953</v>
      </c>
      <c r="AO50" s="5">
        <f t="shared" si="19"/>
        <v>1335.8703270010155</v>
      </c>
      <c r="AQ50" s="22"/>
      <c r="AR50" s="27"/>
    </row>
    <row r="51" spans="1:44" ht="11.25">
      <c r="A51" s="2" t="s">
        <v>2</v>
      </c>
      <c r="B51" s="5">
        <f>depremp(B$6,$B$10:B$10,$B48,$K$3,$K$2)</f>
        <v>0.1194407990252222</v>
      </c>
      <c r="C51" s="5">
        <f>depremp(C$6,$B$10:C$10,$B48,$K$3,$K$2)</f>
        <v>0.3577416289335882</v>
      </c>
      <c r="D51" s="5">
        <f>depremp(D$6,$B$10:D$10,$B48,$K$3,$K$2)</f>
        <v>0.731102662907988</v>
      </c>
      <c r="E51" s="5">
        <f>depremp(E$6,$B$10:E$10,$B48,$K$3,$K$2)</f>
        <v>1.2574756502660458</v>
      </c>
      <c r="F51" s="5">
        <f>depremp(F$6,$B$10:F$10,$B48,$K$3,$K$2)</f>
        <v>1.9567426469990137</v>
      </c>
      <c r="G51" s="5">
        <f>depremp(G$6,$B$10:G$10,$B48,$K$3,$K$2)</f>
        <v>2.8509127104048786</v>
      </c>
      <c r="H51" s="5">
        <f>depremp(H$6,$B$10:H$10,$B48,$K$3,$K$2)</f>
        <v>3.9643383564529993</v>
      </c>
      <c r="I51" s="5">
        <f>depremp(I$6,$B$10:I$10,$B48,$K$3,$K$2)</f>
        <v>5.323953758434189</v>
      </c>
      <c r="J51" s="5">
        <f>depremp(J$6,$B$10:J$10,$B48,$K$3,$K$2)</f>
        <v>6.959536863359986</v>
      </c>
      <c r="K51" s="5">
        <f>depremp(K$6,$B$10:K$10,$B48,$K$3,$K$2)</f>
        <v>8.90399782027654</v>
      </c>
      <c r="L51" s="5">
        <f>depremp(L$6,$B$10:L$10,$B48,$K$3,$K$2)</f>
        <v>11.193696354132108</v>
      </c>
      <c r="M51" s="5">
        <f>depremp(M$6,$B$10:M$10,$B48,$K$3,$K$2)</f>
        <v>13.868790982258913</v>
      </c>
      <c r="N51" s="5">
        <f>depremp(N$6,$B$10:N$10,$B48,$K$3,$K$2)</f>
        <v>16.97362326029607</v>
      </c>
      <c r="O51" s="5">
        <f>depremp(O$6,$B$10:O$10,$B48,$K$3,$K$2)</f>
        <v>20.557140563123358</v>
      </c>
      <c r="P51" s="5">
        <f>depremp(P$6,$B$10:P$10,$B48,$K$3,$K$2)</f>
        <v>24.67336125699523</v>
      </c>
      <c r="Q51" s="5">
        <f>depremp(Q$6,$B$10:Q$10,$B48,$K$3,$K$2)</f>
        <v>29.381886504747033</v>
      </c>
      <c r="R51" s="5">
        <f>depremp(R$6,$B$10:R$10,$B48,$K$3,$K$2)</f>
        <v>34.74846337019772</v>
      </c>
      <c r="S51" s="5">
        <f>depremp(S$6,$B$10:S$10,$B48,$K$3,$K$2)</f>
        <v>40.84560435455261</v>
      </c>
      <c r="T51" s="5">
        <f>depremp(T$6,$B$10:T$10,$B48,$K$3,$K$2)</f>
        <v>47.753269010958384</v>
      </c>
      <c r="U51" s="20">
        <f>depremp(U$6,$B$10:U$10,$B48,$K$3,$K$2)</f>
        <v>55.559613848047384</v>
      </c>
      <c r="V51" s="5">
        <f>depremp(V$6,$B$10:V$10,$B48,$K$3,$K$2)</f>
        <v>56.69348351841571</v>
      </c>
      <c r="W51" s="5">
        <f>depremp(W$6,$B$10:W$10,$B48,$K$3,$K$2)</f>
        <v>57.85049338613849</v>
      </c>
      <c r="X51" s="5">
        <f>depremp(X$6,$B$10:X$10,$B48,$K$3,$K$2)</f>
        <v>59.031115700141314</v>
      </c>
      <c r="Y51" s="5">
        <f>depremp(Y$6,$B$10:Y$10,$B48,$K$3,$K$2)</f>
        <v>60.23583234708297</v>
      </c>
      <c r="Z51" s="5">
        <f>depremp(Z$6,$B$10:Z$10,$B48,$K$3,$K$2)</f>
        <v>61.46513504804385</v>
      </c>
      <c r="AA51" s="5">
        <f>depremp(AA$6,$B$10:AA$10,$B48,$K$3,$K$2)</f>
        <v>62.71952555922841</v>
      </c>
      <c r="AB51" s="5">
        <f>depremp(AB$6,$B$10:AB$10,$B48,$K$3,$K$2)</f>
        <v>63.9995158767637</v>
      </c>
      <c r="AC51" s="5">
        <f>depremp(AC$6,$B$10:AC$10,$B48,$K$3,$K$2)</f>
        <v>65.30562844567726</v>
      </c>
      <c r="AD51" s="5">
        <f>depremp(AD$6,$B$10:AD$10,$B48,$K$3,$K$2)</f>
        <v>66.63839637314007</v>
      </c>
      <c r="AE51" s="5">
        <f>depremp(AE$6,$B$10:AE$10,$B48,$K$3,$K$2)</f>
        <v>67.99836364606128</v>
      </c>
      <c r="AF51" s="5">
        <f>depremp(AF$6,$B$10:AF$10,$B48,$K$3,$K$2)</f>
        <v>69.38608535312375</v>
      </c>
      <c r="AG51" s="5">
        <f>depremp(AG$6,$B$10:AG$10,$B48,$K$3,$K$2)</f>
        <v>70.80212791135077</v>
      </c>
      <c r="AH51" s="5">
        <f>depremp(AH$6,$B$10:AH$10,$B48,$K$3,$K$2)</f>
        <v>72.2470692972967</v>
      </c>
      <c r="AI51" s="5">
        <f>depremp(AI$6,$B$10:AI$10,$B48,$K$3,$K$2)</f>
        <v>73.7214992829558</v>
      </c>
      <c r="AJ51" s="5">
        <f>depremp(AJ$6,$B$10:AJ$10,$B48,$K$3,$K$2)</f>
        <v>75.2260196764855</v>
      </c>
      <c r="AK51" s="5">
        <f>depremp(AK$6,$B$10:AK$10,$B48,$K$3,$K$2)</f>
        <v>76.76124456784235</v>
      </c>
      <c r="AL51" s="5">
        <f>depremp(AL$6,$B$10:AL$10,$B48,$K$3,$K$2)</f>
        <v>78.32780057943101</v>
      </c>
      <c r="AM51" s="5">
        <f>depremp(AM$6,$B$10:AM$10,$B48,$K$3,$K$2)</f>
        <v>79.92632712186838</v>
      </c>
      <c r="AN51" s="5">
        <f>depremp(AN$6,$B$10:AN$10,$B48,$K$3,$K$2)</f>
        <v>81.55747665496774</v>
      </c>
      <c r="AO51" s="5">
        <f>depremp(AO$6,$B$10:AO$10,$B48,$K$3,$K$2)</f>
        <v>83.2219149540487</v>
      </c>
      <c r="AQ51" s="22">
        <f>B48/$B$4*AO$10*$B$4*(1+$K$3*B48*proremp(B48,$K$3,$K$2))/(1+$K$3)/B48</f>
        <v>83.22191495404876</v>
      </c>
      <c r="AR51" s="27">
        <f>AQ51*(1+$K$3)^(AO$6-1)</f>
        <v>37.84902154346039</v>
      </c>
    </row>
    <row r="52" spans="1:44" ht="11.25">
      <c r="A52" s="2" t="s">
        <v>25</v>
      </c>
      <c r="B52" s="6">
        <f aca="true" t="shared" si="20" ref="B52:AO52">($K$2*B49+B51)/(1+$K$2)</f>
        <v>4.654037090022928</v>
      </c>
      <c r="C52" s="6">
        <f t="shared" si="20"/>
        <v>9.498034877597815</v>
      </c>
      <c r="D52" s="6">
        <f t="shared" si="20"/>
        <v>14.537808486119106</v>
      </c>
      <c r="E52" s="6">
        <f t="shared" si="20"/>
        <v>19.779331273631435</v>
      </c>
      <c r="F52" s="6">
        <f t="shared" si="20"/>
        <v>25.228738869427858</v>
      </c>
      <c r="G52" s="6">
        <f t="shared" si="20"/>
        <v>30.892333309503496</v>
      </c>
      <c r="H52" s="6">
        <f t="shared" si="20"/>
        <v>36.77658727321845</v>
      </c>
      <c r="I52" s="6">
        <f t="shared" si="20"/>
        <v>42.88814842357838</v>
      </c>
      <c r="J52" s="6">
        <f t="shared" si="20"/>
        <v>49.23384385359763</v>
      </c>
      <c r="K52" s="6">
        <f t="shared" si="20"/>
        <v>55.820684641267135</v>
      </c>
      <c r="L52" s="6">
        <f t="shared" si="20"/>
        <v>62.65587051570802</v>
      </c>
      <c r="M52" s="6">
        <f t="shared" si="20"/>
        <v>69.74679463715178</v>
      </c>
      <c r="N52" s="6">
        <f t="shared" si="20"/>
        <v>77.10104849345012</v>
      </c>
      <c r="O52" s="6">
        <f t="shared" si="20"/>
        <v>84.72642691587924</v>
      </c>
      <c r="P52" s="6">
        <f t="shared" si="20"/>
        <v>92.63093321706916</v>
      </c>
      <c r="Q52" s="6">
        <f t="shared" si="20"/>
        <v>100.82278445395283</v>
      </c>
      <c r="R52" s="6">
        <f t="shared" si="20"/>
        <v>109.31041681869887</v>
      </c>
      <c r="S52" s="6">
        <f t="shared" si="20"/>
        <v>118.10249116065903</v>
      </c>
      <c r="T52" s="6">
        <f t="shared" si="20"/>
        <v>127.20789864243321</v>
      </c>
      <c r="U52" s="6">
        <f t="shared" si="20"/>
        <v>136.6357665332258</v>
      </c>
      <c r="V52" s="6">
        <f t="shared" si="20"/>
        <v>139.4242515645161</v>
      </c>
      <c r="W52" s="6">
        <f t="shared" si="20"/>
        <v>142.2696444535879</v>
      </c>
      <c r="X52" s="6">
        <f t="shared" si="20"/>
        <v>145.17310658529377</v>
      </c>
      <c r="Y52" s="6">
        <f t="shared" si="20"/>
        <v>148.13582304621812</v>
      </c>
      <c r="Z52" s="6">
        <f t="shared" si="20"/>
        <v>151.15900310838586</v>
      </c>
      <c r="AA52" s="6">
        <f t="shared" si="20"/>
        <v>154.2438807228427</v>
      </c>
      <c r="AB52" s="6">
        <f t="shared" si="20"/>
        <v>157.3917150233089</v>
      </c>
      <c r="AC52" s="6">
        <f t="shared" si="20"/>
        <v>160.60379084011117</v>
      </c>
      <c r="AD52" s="6">
        <f t="shared" si="20"/>
        <v>163.8814192246032</v>
      </c>
      <c r="AE52" s="6">
        <f t="shared" si="20"/>
        <v>167.225937984289</v>
      </c>
      <c r="AF52" s="6">
        <f t="shared" si="20"/>
        <v>170.63871222886632</v>
      </c>
      <c r="AG52" s="6">
        <f t="shared" si="20"/>
        <v>174.12113492741463</v>
      </c>
      <c r="AH52" s="6">
        <f t="shared" si="20"/>
        <v>177.67462747695367</v>
      </c>
      <c r="AI52" s="6">
        <f t="shared" si="20"/>
        <v>181.30064028260577</v>
      </c>
      <c r="AJ52" s="6">
        <f t="shared" si="20"/>
        <v>185.0006533495977</v>
      </c>
      <c r="AK52" s="6">
        <f t="shared" si="20"/>
        <v>188.77617688734463</v>
      </c>
      <c r="AL52" s="6">
        <f t="shared" si="20"/>
        <v>192.62875192586188</v>
      </c>
      <c r="AM52" s="6">
        <f t="shared" si="20"/>
        <v>196.55995094475708</v>
      </c>
      <c r="AN52" s="6">
        <f t="shared" si="20"/>
        <v>200.5713785150582</v>
      </c>
      <c r="AO52" s="6">
        <f t="shared" si="20"/>
        <v>204.664671954141</v>
      </c>
      <c r="AQ52" s="22">
        <f>$B48/$B$4*AO$10*$B$4*(1+$K$4*$B48*proremp($B48,$K$3,$K$2))/(1+$K$4)/$B48</f>
        <v>204.6646719541412</v>
      </c>
      <c r="AR52" s="27">
        <f>AQ52*(1+$K$3)^(AO$6-1)</f>
        <v>93.08074180045867</v>
      </c>
    </row>
    <row r="53" spans="1:41" ht="11.25">
      <c r="A53" s="12" t="s">
        <v>30</v>
      </c>
      <c r="B53" s="13">
        <f>B52</f>
        <v>4.654037090022928</v>
      </c>
      <c r="C53" s="14">
        <f aca="true" t="shared" si="21" ref="C53:AO53">B53+C52/(1+$K$2)^(C$6-1)</f>
        <v>13.288614251475487</v>
      </c>
      <c r="D53" s="14">
        <f t="shared" si="21"/>
        <v>25.303332008598712</v>
      </c>
      <c r="E53" s="14">
        <f t="shared" si="21"/>
        <v>40.16383634641346</v>
      </c>
      <c r="F53" s="14">
        <f t="shared" si="21"/>
        <v>57.395404456124446</v>
      </c>
      <c r="G53" s="14">
        <f t="shared" si="21"/>
        <v>76.57711292704576</v>
      </c>
      <c r="H53" s="14">
        <f t="shared" si="21"/>
        <v>97.3365376791251</v>
      </c>
      <c r="I53" s="14">
        <f t="shared" si="21"/>
        <v>119.34493921856782</v>
      </c>
      <c r="J53" s="14">
        <f t="shared" si="21"/>
        <v>142.3128907323647</v>
      </c>
      <c r="K53" s="14">
        <f t="shared" si="21"/>
        <v>165.98631014464763</v>
      </c>
      <c r="L53" s="14">
        <f t="shared" si="21"/>
        <v>190.1428605653445</v>
      </c>
      <c r="M53" s="14">
        <f t="shared" si="21"/>
        <v>214.5886865940477</v>
      </c>
      <c r="N53" s="14">
        <f t="shared" si="21"/>
        <v>239.15545672184155</v>
      </c>
      <c r="O53" s="14">
        <f t="shared" si="21"/>
        <v>263.6976846217355</v>
      </c>
      <c r="P53" s="14">
        <f t="shared" si="21"/>
        <v>288.09030445332905</v>
      </c>
      <c r="Q53" s="14">
        <f t="shared" si="21"/>
        <v>312.2264774468662</v>
      </c>
      <c r="R53" s="14">
        <f t="shared" si="21"/>
        <v>336.01560899198057</v>
      </c>
      <c r="S53" s="14">
        <f t="shared" si="21"/>
        <v>359.3815572519423</v>
      </c>
      <c r="T53" s="14">
        <f t="shared" si="21"/>
        <v>382.26101596866425</v>
      </c>
      <c r="U53" s="14">
        <f t="shared" si="21"/>
        <v>404.6020556295586</v>
      </c>
      <c r="V53" s="14">
        <f t="shared" si="21"/>
        <v>425.3265822166591</v>
      </c>
      <c r="W53" s="14">
        <f t="shared" si="21"/>
        <v>444.55156049782846</v>
      </c>
      <c r="X53" s="14">
        <f t="shared" si="21"/>
        <v>462.38549211301336</v>
      </c>
      <c r="Y53" s="14">
        <f t="shared" si="21"/>
        <v>478.92902793414964</v>
      </c>
      <c r="Z53" s="14">
        <f t="shared" si="21"/>
        <v>494.2755361170219</v>
      </c>
      <c r="AA53" s="14">
        <f t="shared" si="21"/>
        <v>508.51162905104064</v>
      </c>
      <c r="AB53" s="14">
        <f t="shared" si="21"/>
        <v>521.7176521809282</v>
      </c>
      <c r="AC53" s="14">
        <f t="shared" si="21"/>
        <v>533.9681374591171</v>
      </c>
      <c r="AD53" s="14">
        <f t="shared" si="21"/>
        <v>545.3322239880492</v>
      </c>
      <c r="AE53" s="14">
        <f t="shared" si="21"/>
        <v>555.8740482263908</v>
      </c>
      <c r="AF53" s="14">
        <f t="shared" si="21"/>
        <v>565.6531059614014</v>
      </c>
      <c r="AG53" s="14">
        <f t="shared" si="21"/>
        <v>574.7245880903537</v>
      </c>
      <c r="AH53" s="14">
        <f t="shared" si="21"/>
        <v>583.1396921060795</v>
      </c>
      <c r="AI53" s="14">
        <f t="shared" si="21"/>
        <v>590.9459110446005</v>
      </c>
      <c r="AJ53" s="14">
        <f t="shared" si="21"/>
        <v>598.1873015256034</v>
      </c>
      <c r="AK53" s="14">
        <f t="shared" si="21"/>
        <v>604.9047323985188</v>
      </c>
      <c r="AL53" s="14">
        <f t="shared" si="21"/>
        <v>611.1361153975128</v>
      </c>
      <c r="AM53" s="14">
        <f t="shared" si="21"/>
        <v>616.9166191071546</v>
      </c>
      <c r="AN53" s="14">
        <f t="shared" si="21"/>
        <v>622.27886744634</v>
      </c>
      <c r="AO53" s="14">
        <f t="shared" si="21"/>
        <v>627.2531237906678</v>
      </c>
    </row>
    <row r="54" spans="1:41" s="18" customFormat="1" ht="11.25">
      <c r="A54" s="15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s="18" customFormat="1" ht="11.25">
      <c r="A55" s="1" t="s">
        <v>35</v>
      </c>
      <c r="B55" s="2">
        <f>B3</f>
        <v>15</v>
      </c>
      <c r="C55" s="2" t="s">
        <v>11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4" s="18" customFormat="1" ht="11.25">
      <c r="A56" s="2" t="s">
        <v>23</v>
      </c>
      <c r="B56" s="5">
        <f>$B$4/$B55*vREMP(B$6,$B$10:B$10,$B55,$K$3,$K$2)</f>
        <v>66.66666666666666</v>
      </c>
      <c r="C56" s="5">
        <f>$B$4/$B55*vREMP(C$6,$B$10:C$10,$B55,$K$3,$K$2)</f>
        <v>133.50974644974406</v>
      </c>
      <c r="D56" s="5">
        <f>$B$4/$B55*vREMP(D$6,$B$10:D$10,$B55,$K$3,$K$2)</f>
        <v>200.25420614417524</v>
      </c>
      <c r="E56" s="5">
        <f>$B$4/$B55*vREMP(E$6,$B$10:E$10,$B55,$K$3,$K$2)</f>
        <v>266.58826647175874</v>
      </c>
      <c r="F56" s="5">
        <f>$B$4/$B55*vREMP(F$6,$B$10:F$10,$B55,$K$3,$K$2)</f>
        <v>332.1594721155492</v>
      </c>
      <c r="G56" s="5">
        <f>$B$4/$B55*vREMP(G$6,$B$10:G$10,$B55,$K$3,$K$2)</f>
        <v>396.57036218445353</v>
      </c>
      <c r="H56" s="5">
        <f>$B$4/$B55*vREMP(H$6,$B$10:H$10,$B55,$K$3,$K$2)</f>
        <v>459.3737009891031</v>
      </c>
      <c r="I56" s="5">
        <f>$B$4/$B55*vREMP(I$6,$B$10:I$10,$B55,$K$3,$K$2)</f>
        <v>520.0672249943134</v>
      </c>
      <c r="J56" s="5">
        <f>$B$4/$B55*vREMP(J$6,$B$10:J$10,$B55,$K$3,$K$2)</f>
        <v>578.087857396019</v>
      </c>
      <c r="K56" s="5">
        <f>$B$4/$B55*vREMP(K$6,$B$10:K$10,$B55,$K$3,$K$2)</f>
        <v>632.8053369112947</v>
      </c>
      <c r="L56" s="5">
        <f>$B$4/$B55*vREMP(L$6,$B$10:L$10,$B55,$K$3,$K$2)</f>
        <v>683.5152020247967</v>
      </c>
      <c r="M56" s="5">
        <f>$B$4/$B55*vREMP(M$6,$B$10:M$10,$B55,$K$3,$K$2)</f>
        <v>729.4310660550319</v>
      </c>
      <c r="N56" s="5">
        <f>$B$4/$B55*vREMP(N$6,$B$10:N$10,$B55,$K$3,$K$2)</f>
        <v>769.6761119358666</v>
      </c>
      <c r="O56" s="5">
        <f>$B$4/$B55*vREMP(O$6,$B$10:O$10,$B55,$K$3,$K$2)</f>
        <v>803.2737284937745</v>
      </c>
      <c r="P56" s="5">
        <f>$B$4/$B55*vREMP(P$6,$B$10:P$10,$B55,$K$3,$K$2)</f>
        <v>829.1372021748241</v>
      </c>
      <c r="Q56" s="5">
        <f>$B$4/$B55*vREMP(Q$6,$B$10:Q$10,$B55,$K$3,$K$2)</f>
        <v>846.0583695661471</v>
      </c>
      <c r="R56" s="5">
        <f>$B$4/$B55*vREMP(R$6,$B$10:R$10,$B55,$K$3,$K$2)</f>
        <v>863.324866904232</v>
      </c>
      <c r="S56" s="5">
        <f>$B$4/$B55*vREMP(S$6,$B$10:S$10,$B55,$K$3,$K$2)</f>
        <v>880.9437417390119</v>
      </c>
      <c r="T56" s="5">
        <f>$B$4/$B55*vREMP(T$6,$B$10:T$10,$B55,$K$3,$K$2)</f>
        <v>898.9221854479715</v>
      </c>
      <c r="U56" s="5">
        <f>$B$4/$B55*vREMP(U$6,$B$10:U$10,$B55,$K$3,$K$2)</f>
        <v>917.2675361713996</v>
      </c>
      <c r="V56" s="5">
        <f>$B$4/$B55*vREMP(V$6,$B$10:V$10,$B55,$K$3,$K$2)</f>
        <v>935.9872818075505</v>
      </c>
      <c r="W56" s="5">
        <f>$B$4/$B55*vREMP(W$6,$B$10:W$10,$B55,$K$3,$K$2)</f>
        <v>955.0890630689291</v>
      </c>
      <c r="X56" s="5">
        <f>$B$4/$B55*vREMP(X$6,$B$10:X$10,$B55,$K$3,$K$2)</f>
        <v>974.580676600948</v>
      </c>
      <c r="Y56" s="5">
        <f>$B$4/$B55*vREMP(Y$6,$B$10:Y$10,$B55,$K$3,$K$2)</f>
        <v>994.4700781642329</v>
      </c>
      <c r="Z56" s="5">
        <f>$B$4/$B55*vREMP(Z$6,$B$10:Z$10,$B55,$K$3,$K$2)</f>
        <v>1014.7653858818701</v>
      </c>
      <c r="AA56" s="5">
        <f>$B$4/$B55*vREMP(AA$6,$B$10:AA$10,$B55,$K$3,$K$2)</f>
        <v>1035.4748835529288</v>
      </c>
      <c r="AB56" s="5">
        <f>$B$4/$B55*vREMP(AB$6,$B$10:AB$10,$B55,$K$3,$K$2)</f>
        <v>1056.6070240336007</v>
      </c>
      <c r="AC56" s="5">
        <f>$B$4/$B55*vREMP(AC$6,$B$10:AC$10,$B55,$K$3,$K$2)</f>
        <v>1078.1704326873478</v>
      </c>
      <c r="AD56" s="5">
        <f>$B$4/$B55*vREMP(AD$6,$B$10:AD$10,$B55,$K$3,$K$2)</f>
        <v>1100.173910905457</v>
      </c>
      <c r="AE56" s="5">
        <f>$B$4/$B55*vREMP(AE$6,$B$10:AE$10,$B55,$K$3,$K$2)</f>
        <v>1122.626439699446</v>
      </c>
      <c r="AF56" s="5">
        <f>$B$4/$B55*vREMP(AF$6,$B$10:AF$10,$B55,$K$3,$K$2)</f>
        <v>1145.5371833667818</v>
      </c>
      <c r="AG56" s="5">
        <f>$B$4/$B55*vREMP(AG$6,$B$10:AG$10,$B55,$K$3,$K$2)</f>
        <v>1168.91549323141</v>
      </c>
      <c r="AH56" s="5">
        <f>$B$4/$B55*vREMP(AH$6,$B$10:AH$10,$B55,$K$3,$K$2)</f>
        <v>1192.7709114606223</v>
      </c>
      <c r="AI56" s="5">
        <f>$B$4/$B55*vREMP(AI$6,$B$10:AI$10,$B55,$K$3,$K$2)</f>
        <v>1217.113174959819</v>
      </c>
      <c r="AJ56" s="5">
        <f>$B$4/$B55*vREMP(AJ$6,$B$10:AJ$10,$B55,$K$3,$K$2)</f>
        <v>1241.952219346754</v>
      </c>
      <c r="AK56" s="5">
        <f>$B$4/$B55*vREMP(AK$6,$B$10:AK$10,$B55,$K$3,$K$2)</f>
        <v>1267.2981830068918</v>
      </c>
      <c r="AL56" s="5">
        <f>$B$4/$B55*vREMP(AL$6,$B$10:AL$10,$B55,$K$3,$K$2)</f>
        <v>1293.1614112315224</v>
      </c>
      <c r="AM56" s="5">
        <f>$B$4/$B55*vREMP(AM$6,$B$10:AM$10,$B55,$K$3,$K$2)</f>
        <v>1319.552460440329</v>
      </c>
      <c r="AN56" s="5">
        <f>$B$4/$B55*vREMP(AN$6,$B$10:AN$10,$B55,$K$3,$K$2)</f>
        <v>1346.4821024901316</v>
      </c>
      <c r="AO56" s="5">
        <f>$B$4/$B55*vREMP(AO$6,$B$10:AO$10,$B55,$K$3,$K$2)</f>
        <v>1373.961329071563</v>
      </c>
      <c r="AQ56" s="22">
        <f>AO$10*$B$4*proremp(B55,$K$3,$K$2)</f>
        <v>1373.9613290715627</v>
      </c>
      <c r="AR56" s="27">
        <f>AQ56*(1+$K$3)^(AO$6-1)</f>
        <v>624.8725707961023</v>
      </c>
    </row>
    <row r="57" spans="1:44" s="18" customFormat="1" ht="11.25">
      <c r="A57" s="2" t="s">
        <v>24</v>
      </c>
      <c r="B57" s="5">
        <f aca="true" t="shared" si="22" ref="B57:AO57">B56-B58</f>
        <v>65.4825355653903</v>
      </c>
      <c r="C57" s="5">
        <f t="shared" si="22"/>
        <v>130.83868483361022</v>
      </c>
      <c r="D57" s="5">
        <f t="shared" si="22"/>
        <v>195.7561018691414</v>
      </c>
      <c r="E57" s="5">
        <f t="shared" si="22"/>
        <v>259.88175313328645</v>
      </c>
      <c r="F57" s="5">
        <f t="shared" si="22"/>
        <v>322.81758771275696</v>
      </c>
      <c r="G57" s="5">
        <f t="shared" si="22"/>
        <v>384.11576785471874</v>
      </c>
      <c r="H57" s="5">
        <f t="shared" si="22"/>
        <v>443.2734156735132</v>
      </c>
      <c r="I57" s="5">
        <f t="shared" si="22"/>
        <v>499.7268274768349</v>
      </c>
      <c r="J57" s="5">
        <f t="shared" si="22"/>
        <v>552.8451022998826</v>
      </c>
      <c r="K57" s="5">
        <f t="shared" si="22"/>
        <v>601.9231258907027</v>
      </c>
      <c r="L57" s="5">
        <f t="shared" si="22"/>
        <v>646.1738455100381</v>
      </c>
      <c r="M57" s="5">
        <f t="shared" si="22"/>
        <v>684.7197644409747</v>
      </c>
      <c r="N57" s="5">
        <f t="shared" si="22"/>
        <v>716.5835779887827</v>
      </c>
      <c r="O57" s="5">
        <f t="shared" si="22"/>
        <v>740.6778649248326</v>
      </c>
      <c r="P57" s="5">
        <f t="shared" si="22"/>
        <v>755.793739719217</v>
      </c>
      <c r="Q57" s="5">
        <f t="shared" si="22"/>
        <v>771.2181017543031</v>
      </c>
      <c r="R57" s="5">
        <f t="shared" si="22"/>
        <v>786.9572466880646</v>
      </c>
      <c r="S57" s="5">
        <f t="shared" si="22"/>
        <v>803.0175986612901</v>
      </c>
      <c r="T57" s="5">
        <f t="shared" si="22"/>
        <v>819.405712919684</v>
      </c>
      <c r="U57" s="5">
        <f t="shared" si="22"/>
        <v>836.1282784894736</v>
      </c>
      <c r="V57" s="5">
        <f t="shared" si="22"/>
        <v>853.192120907626</v>
      </c>
      <c r="W57" s="5">
        <f t="shared" si="22"/>
        <v>870.6042050077816</v>
      </c>
      <c r="X57" s="5">
        <f t="shared" si="22"/>
        <v>888.3716377630424</v>
      </c>
      <c r="Y57" s="5">
        <f t="shared" si="22"/>
        <v>906.5016711867781</v>
      </c>
      <c r="Z57" s="5">
        <f t="shared" si="22"/>
        <v>925.0017052926305</v>
      </c>
      <c r="AA57" s="5">
        <f t="shared" si="22"/>
        <v>943.8792911149293</v>
      </c>
      <c r="AB57" s="5">
        <f t="shared" si="22"/>
        <v>963.1421337907441</v>
      </c>
      <c r="AC57" s="5">
        <f t="shared" si="22"/>
        <v>982.798095704841</v>
      </c>
      <c r="AD57" s="5">
        <f t="shared" si="22"/>
        <v>1002.8551996988174</v>
      </c>
      <c r="AE57" s="5">
        <f t="shared" si="22"/>
        <v>1023.3216323457323</v>
      </c>
      <c r="AF57" s="5">
        <f t="shared" si="22"/>
        <v>1044.2057472915637</v>
      </c>
      <c r="AG57" s="5">
        <f t="shared" si="22"/>
        <v>1065.5160686648608</v>
      </c>
      <c r="AH57" s="5">
        <f t="shared" si="22"/>
        <v>1087.2612945559802</v>
      </c>
      <c r="AI57" s="5">
        <f t="shared" si="22"/>
        <v>1109.450300567327</v>
      </c>
      <c r="AJ57" s="5">
        <f t="shared" si="22"/>
        <v>1132.092143436048</v>
      </c>
      <c r="AK57" s="5">
        <f t="shared" si="22"/>
        <v>1155.1960647306612</v>
      </c>
      <c r="AL57" s="5">
        <f t="shared" si="22"/>
        <v>1178.7714946231238</v>
      </c>
      <c r="AM57" s="5">
        <f t="shared" si="22"/>
        <v>1202.8280557378814</v>
      </c>
      <c r="AN57" s="5">
        <f t="shared" si="22"/>
        <v>1227.3755670794708</v>
      </c>
      <c r="AO57" s="5">
        <f t="shared" si="22"/>
        <v>1252.4240480402764</v>
      </c>
      <c r="AQ57" s="22"/>
      <c r="AR57" s="27"/>
    </row>
    <row r="58" spans="1:44" s="18" customFormat="1" ht="11.25">
      <c r="A58" s="2" t="s">
        <v>2</v>
      </c>
      <c r="B58" s="5">
        <f>$B$4/$B55*depremp(B$6,$B$10:B$10,$B55,$K$3,$K$2)</f>
        <v>1.184131101276368</v>
      </c>
      <c r="C58" s="5">
        <f>$B$4/$B55*depremp(C$6,$B$10:C$10,$B55,$K$3,$K$2)</f>
        <v>2.6710616161338283</v>
      </c>
      <c r="D58" s="5">
        <f>$B$4/$B55*depremp(D$6,$B$10:D$10,$B55,$K$3,$K$2)</f>
        <v>4.498104275033863</v>
      </c>
      <c r="E58" s="5">
        <f>$B$4/$B55*depremp(E$6,$B$10:E$10,$B55,$K$3,$K$2)</f>
        <v>6.706513338472263</v>
      </c>
      <c r="F58" s="5">
        <f>$B$4/$B55*depremp(F$6,$B$10:F$10,$B55,$K$3,$K$2)</f>
        <v>9.341884402792209</v>
      </c>
      <c r="G58" s="5">
        <f>$B$4/$B55*depremp(G$6,$B$10:G$10,$B55,$K$3,$K$2)</f>
        <v>12.454594329734793</v>
      </c>
      <c r="H58" s="5">
        <f>$B$4/$B55*depremp(H$6,$B$10:H$10,$B55,$K$3,$K$2)</f>
        <v>16.100285315589883</v>
      </c>
      <c r="I58" s="5">
        <f>$B$4/$B55*depremp(I$6,$B$10:I$10,$B55,$K$3,$K$2)</f>
        <v>20.340397517478493</v>
      </c>
      <c r="J58" s="5">
        <f>$B$4/$B55*depremp(J$6,$B$10:J$10,$B55,$K$3,$K$2)</f>
        <v>25.242755096136456</v>
      </c>
      <c r="K58" s="5">
        <f>$B$4/$B55*depremp(K$6,$B$10:K$10,$B55,$K$3,$K$2)</f>
        <v>30.88221102059201</v>
      </c>
      <c r="L58" s="5">
        <f>$B$4/$B55*depremp(L$6,$B$10:L$10,$B55,$K$3,$K$2)</f>
        <v>37.34135651475873</v>
      </c>
      <c r="M58" s="5">
        <f>$B$4/$B55*depremp(M$6,$B$10:M$10,$B55,$K$3,$K$2)</f>
        <v>44.71130161405717</v>
      </c>
      <c r="N58" s="5">
        <f>$B$4/$B55*depremp(N$6,$B$10:N$10,$B55,$K$3,$K$2)</f>
        <v>53.09253394708384</v>
      </c>
      <c r="O58" s="5">
        <f>$B$4/$B55*depremp(O$6,$B$10:O$10,$B55,$K$3,$K$2)</f>
        <v>62.595863568941766</v>
      </c>
      <c r="P58" s="5">
        <f>$B$4/$B55*depremp(P$6,$B$10:P$10,$B55,$K$3,$K$2)</f>
        <v>73.3434624556071</v>
      </c>
      <c r="Q58" s="5">
        <f>$B$4/$B55*depremp(Q$6,$B$10:Q$10,$B55,$K$3,$K$2)</f>
        <v>74.840267811844</v>
      </c>
      <c r="R58" s="5">
        <f>$B$4/$B55*depremp(R$6,$B$10:R$10,$B55,$K$3,$K$2)</f>
        <v>76.36762021616735</v>
      </c>
      <c r="S58" s="5">
        <f>$B$4/$B55*depremp(S$6,$B$10:S$10,$B55,$K$3,$K$2)</f>
        <v>77.92614307772178</v>
      </c>
      <c r="T58" s="5">
        <f>$B$4/$B55*depremp(T$6,$B$10:T$10,$B55,$K$3,$K$2)</f>
        <v>79.51647252828752</v>
      </c>
      <c r="U58" s="5">
        <f>$B$4/$B55*depremp(U$6,$B$10:U$10,$B55,$K$3,$K$2)</f>
        <v>81.13925768192604</v>
      </c>
      <c r="V58" s="5">
        <f>$B$4/$B55*depremp(V$6,$B$10:V$10,$B55,$K$3,$K$2)</f>
        <v>82.79516089992455</v>
      </c>
      <c r="W58" s="5">
        <f>$B$4/$B55*depremp(W$6,$B$10:W$10,$B55,$K$3,$K$2)</f>
        <v>84.48485806114749</v>
      </c>
      <c r="X58" s="5">
        <f>$B$4/$B55*depremp(X$6,$B$10:X$10,$B55,$K$3,$K$2)</f>
        <v>86.20903883790564</v>
      </c>
      <c r="Y58" s="5">
        <f>$B$4/$B55*depremp(Y$6,$B$10:Y$10,$B55,$K$3,$K$2)</f>
        <v>87.96840697745469</v>
      </c>
      <c r="Z58" s="5">
        <f>$B$4/$B55*depremp(Z$6,$B$10:Z$10,$B55,$K$3,$K$2)</f>
        <v>89.76368058923953</v>
      </c>
      <c r="AA58" s="5">
        <f>$B$4/$B55*depremp(AA$6,$B$10:AA$10,$B55,$K$3,$K$2)</f>
        <v>91.5955924379995</v>
      </c>
      <c r="AB58" s="5">
        <f>$B$4/$B55*depremp(AB$6,$B$10:AB$10,$B55,$K$3,$K$2)</f>
        <v>93.46489024285663</v>
      </c>
      <c r="AC58" s="5">
        <f>$B$4/$B55*depremp(AC$6,$B$10:AC$10,$B55,$K$3,$K$2)</f>
        <v>95.37233698250677</v>
      </c>
      <c r="AD58" s="5">
        <f>$B$4/$B55*depremp(AD$6,$B$10:AD$10,$B55,$K$3,$K$2)</f>
        <v>97.31871120663959</v>
      </c>
      <c r="AE58" s="5">
        <f>$B$4/$B55*depremp(AE$6,$B$10:AE$10,$B55,$K$3,$K$2)</f>
        <v>99.30480735371387</v>
      </c>
      <c r="AF58" s="5">
        <f>$B$4/$B55*depremp(AF$6,$B$10:AF$10,$B55,$K$3,$K$2)</f>
        <v>101.33143607521819</v>
      </c>
      <c r="AG58" s="5">
        <f>$B$4/$B55*depremp(AG$6,$B$10:AG$10,$B55,$K$3,$K$2)</f>
        <v>103.39942456654923</v>
      </c>
      <c r="AH58" s="5">
        <f>$B$4/$B55*depremp(AH$6,$B$10:AH$10,$B55,$K$3,$K$2)</f>
        <v>105.50961690464204</v>
      </c>
      <c r="AI58" s="5">
        <f>$B$4/$B55*depremp(AI$6,$B$10:AI$10,$B55,$K$3,$K$2)</f>
        <v>107.66287439249187</v>
      </c>
      <c r="AJ58" s="5">
        <f>$B$4/$B55*depremp(AJ$6,$B$10:AJ$10,$B55,$K$3,$K$2)</f>
        <v>109.860075910706</v>
      </c>
      <c r="AK58" s="5">
        <f>$B$4/$B55*depremp(AK$6,$B$10:AK$10,$B55,$K$3,$K$2)</f>
        <v>112.10211827623064</v>
      </c>
      <c r="AL58" s="5">
        <f>$B$4/$B55*depremp(AL$6,$B$10:AL$10,$B55,$K$3,$K$2)</f>
        <v>114.38991660839861</v>
      </c>
      <c r="AM58" s="5">
        <f>$B$4/$B55*depremp(AM$6,$B$10:AM$10,$B55,$K$3,$K$2)</f>
        <v>116.72440470244757</v>
      </c>
      <c r="AN58" s="5">
        <f>$B$4/$B55*depremp(AN$6,$B$10:AN$10,$B55,$K$3,$K$2)</f>
        <v>119.10653541066075</v>
      </c>
      <c r="AO58" s="5">
        <f>$B$4/$B55*depremp(AO$6,$B$10:AO$10,$B55,$K$3,$K$2)</f>
        <v>121.53728103128651</v>
      </c>
      <c r="AQ58" s="22">
        <f>AO$10*$B$4*(1+$K$3*B55*proremp(B55,$K$3,$K$2))/(1+$K$3)/B55</f>
        <v>121.53728103128658</v>
      </c>
      <c r="AR58" s="27">
        <f>AQ58*(1+$K$3)^(AO$6-1)</f>
        <v>55.27470943953533</v>
      </c>
    </row>
    <row r="59" spans="1:44" ht="11.25">
      <c r="A59" s="2" t="s">
        <v>25</v>
      </c>
      <c r="B59" s="6">
        <f aca="true" t="shared" si="23" ref="B59:AO59">($K$2*B56+B58)/(1+$K$2)</f>
        <v>7.1370888799482115</v>
      </c>
      <c r="C59" s="6">
        <f t="shared" si="23"/>
        <v>14.565487510098393</v>
      </c>
      <c r="D59" s="6">
        <f t="shared" si="23"/>
        <v>22.2941135358649</v>
      </c>
      <c r="E59" s="6">
        <f t="shared" si="23"/>
        <v>30.33212725968012</v>
      </c>
      <c r="F59" s="6">
        <f t="shared" si="23"/>
        <v>38.68893783122466</v>
      </c>
      <c r="G59" s="6">
        <f t="shared" si="23"/>
        <v>47.374209589254676</v>
      </c>
      <c r="H59" s="6">
        <f t="shared" si="23"/>
        <v>56.39786855863653</v>
      </c>
      <c r="I59" s="6">
        <f t="shared" si="23"/>
        <v>65.77010910628165</v>
      </c>
      <c r="J59" s="6">
        <f t="shared" si="23"/>
        <v>75.50140075976215</v>
      </c>
      <c r="K59" s="6">
        <f t="shared" si="23"/>
        <v>85.60249519247407</v>
      </c>
      <c r="L59" s="6">
        <f t="shared" si="23"/>
        <v>96.08443337930764</v>
      </c>
      <c r="M59" s="6">
        <f t="shared" si="23"/>
        <v>106.95855292687305</v>
      </c>
      <c r="N59" s="6">
        <f t="shared" si="23"/>
        <v>118.23649558242772</v>
      </c>
      <c r="O59" s="6">
        <f t="shared" si="23"/>
        <v>129.93021492574474</v>
      </c>
      <c r="P59" s="6">
        <f t="shared" si="23"/>
        <v>142.05198424826318</v>
      </c>
      <c r="Q59" s="6">
        <f t="shared" si="23"/>
        <v>144.95100433496248</v>
      </c>
      <c r="R59" s="6">
        <f t="shared" si="23"/>
        <v>147.9091880969005</v>
      </c>
      <c r="S59" s="6">
        <f t="shared" si="23"/>
        <v>150.92774295602086</v>
      </c>
      <c r="T59" s="6">
        <f t="shared" si="23"/>
        <v>154.00790097553153</v>
      </c>
      <c r="U59" s="6">
        <f t="shared" si="23"/>
        <v>157.15091936278725</v>
      </c>
      <c r="V59" s="6">
        <f t="shared" si="23"/>
        <v>160.358080982436</v>
      </c>
      <c r="W59" s="6">
        <f t="shared" si="23"/>
        <v>163.63069488003674</v>
      </c>
      <c r="X59" s="6">
        <f t="shared" si="23"/>
        <v>166.97009681636402</v>
      </c>
      <c r="Y59" s="6">
        <f t="shared" si="23"/>
        <v>170.3776498126163</v>
      </c>
      <c r="Z59" s="6">
        <f t="shared" si="23"/>
        <v>173.85474470675138</v>
      </c>
      <c r="AA59" s="6">
        <f t="shared" si="23"/>
        <v>177.40280072117486</v>
      </c>
      <c r="AB59" s="6">
        <f t="shared" si="23"/>
        <v>181.0232660420152</v>
      </c>
      <c r="AC59" s="6">
        <f t="shared" si="23"/>
        <v>184.71761841021956</v>
      </c>
      <c r="AD59" s="6">
        <f t="shared" si="23"/>
        <v>188.48736572471387</v>
      </c>
      <c r="AE59" s="6">
        <f t="shared" si="23"/>
        <v>192.3340466578713</v>
      </c>
      <c r="AF59" s="6">
        <f t="shared" si="23"/>
        <v>196.25923128354216</v>
      </c>
      <c r="AG59" s="6">
        <f t="shared" si="23"/>
        <v>200.2645217179002</v>
      </c>
      <c r="AH59" s="6">
        <f t="shared" si="23"/>
        <v>204.3515527733675</v>
      </c>
      <c r="AI59" s="6">
        <f t="shared" si="23"/>
        <v>208.52199262588522</v>
      </c>
      <c r="AJ59" s="6">
        <f t="shared" si="23"/>
        <v>212.77754349580127</v>
      </c>
      <c r="AK59" s="6">
        <f t="shared" si="23"/>
        <v>217.11994234265435</v>
      </c>
      <c r="AL59" s="6">
        <f t="shared" si="23"/>
        <v>221.55096157413712</v>
      </c>
      <c r="AM59" s="6">
        <f t="shared" si="23"/>
        <v>226.0724097695277</v>
      </c>
      <c r="AN59" s="6">
        <f t="shared" si="23"/>
        <v>230.68613241788535</v>
      </c>
      <c r="AO59" s="6">
        <f t="shared" si="23"/>
        <v>235.39401267131163</v>
      </c>
      <c r="AQ59" s="22">
        <f>AO$10*$B$4*(1+$K$4*$B55*proremp($B55,$K$3,$K$2))/(1+$K$4)/$B55</f>
        <v>235.39401267131177</v>
      </c>
      <c r="AR59" s="27">
        <f>AQ59*(1+$K$3)^(AO$6-1)</f>
        <v>107.05633319922327</v>
      </c>
    </row>
  </sheetData>
  <mergeCells count="3">
    <mergeCell ref="G2:J2"/>
    <mergeCell ref="G3:J3"/>
    <mergeCell ref="G4:J4"/>
  </mergeCells>
  <printOptions/>
  <pageMargins left="0.61" right="0.64" top="0.17" bottom="0.21" header="0.4921259845" footer="0.22"/>
  <pageSetup fitToHeight="1" fitToWidth="1" horizontalDpi="1200" verticalDpi="1200" orientation="landscape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Q59"/>
  <sheetViews>
    <sheetView workbookViewId="0" topLeftCell="A1">
      <selection activeCell="A1" sqref="A1"/>
    </sheetView>
  </sheetViews>
  <sheetFormatPr defaultColWidth="11.421875" defaultRowHeight="12.75"/>
  <cols>
    <col min="1" max="1" width="9.28125" style="2" customWidth="1"/>
    <col min="2" max="2" width="3.00390625" style="2" customWidth="1"/>
    <col min="3" max="4" width="8.7109375" style="2" customWidth="1"/>
    <col min="5" max="6" width="9.140625" style="2" customWidth="1"/>
    <col min="7" max="7" width="3.28125" style="2" customWidth="1"/>
    <col min="8" max="9" width="8.7109375" style="2" customWidth="1"/>
    <col min="10" max="10" width="9.42187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28125" style="2" customWidth="1"/>
    <col min="16" max="16" width="9.140625" style="2" customWidth="1"/>
    <col min="17" max="17" width="9.421875" style="2" customWidth="1"/>
    <col min="18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30">
        <v>50</v>
      </c>
      <c r="G2" s="2" t="str">
        <f>"First annual payment - Real lifespan : "&amp;FIXED(E2,0)&amp;" years"</f>
        <v>First annual payment - Real lifespan : 50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7" ht="65.25" customHeight="1">
      <c r="A8" s="11" t="s">
        <v>12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</row>
    <row r="9" spans="1:17" s="26" customFormat="1" ht="11.25">
      <c r="A9" s="28">
        <v>10</v>
      </c>
      <c r="B9" s="28"/>
      <c r="C9" s="29">
        <f aca="true" t="shared" si="0" ref="C9:C40">$A9/$E$2*$E$1*prolin($A9,$E$4)</f>
        <v>103.65675374897975</v>
      </c>
      <c r="D9" s="28">
        <f aca="true" t="shared" si="1" ref="D9:D40">$A9/$E$2*$E$1*procour($A9,$E$4)</f>
        <v>110.00000000000001</v>
      </c>
      <c r="E9" s="28">
        <f aca="true" t="shared" si="2" ref="E9:E40">$A9/$E$2*$E$1*proremp($A9,$E$4,$E$3)</f>
        <v>122.27661150118026</v>
      </c>
      <c r="F9" s="28">
        <f aca="true" t="shared" si="3" ref="F9:F40">$E$1*proremp($A9,$E$4,$E$3)</f>
        <v>611.3830575059013</v>
      </c>
      <c r="G9" s="28"/>
      <c r="H9" s="28">
        <f aca="true" t="shared" si="4" ref="H9:H40">$A9/$E$2*$E$1*(1+$A9*$E$4*prolin($A9,$E$4))/(1+$E$4)/$A9</f>
        <v>18.292719311245314</v>
      </c>
      <c r="I9" s="28">
        <f aca="true" t="shared" si="5" ref="I9:I40">$A9/$E$2*$E$1*(1+$A9*$E$4*procour($A9,$E$4))/(1+$E$4)/$A9</f>
        <v>18.163265306122447</v>
      </c>
      <c r="J9" s="28">
        <f aca="true" t="shared" si="6" ref="J9:J40">$A9/$E$2*$E$1*(1+$A9*$E$4*proremp($A9,$E$4,$E$3))/(1+$E$4)/$A9</f>
        <v>17.912722214261628</v>
      </c>
      <c r="K9" s="28">
        <f aca="true" t="shared" si="7" ref="K9:K40">$E$1*(1+$A9*$E$4*proremp($A9,$E$4,$E$3))/(1+$E$4)/$A9</f>
        <v>89.56361107130813</v>
      </c>
      <c r="L9" s="28"/>
      <c r="M9" s="28">
        <f aca="true" t="shared" si="8" ref="M9:M40">($E$3*C9+H9)/(1+$E$3)</f>
        <v>26.053086078312077</v>
      </c>
      <c r="N9" s="28">
        <f aca="true" t="shared" si="9" ref="N9:N40">($E$3*D9+I9)/(1+$E$3)</f>
        <v>26.512059369202223</v>
      </c>
      <c r="O9" s="28">
        <f aca="true" t="shared" si="10" ref="O9:O40">($E$3*E9+J9)/(1+$E$3)</f>
        <v>27.40034851307241</v>
      </c>
      <c r="P9" s="28">
        <f aca="true" t="shared" si="11" ref="P9:P40">($E$3*F9+K9)/(1+$E$3)</f>
        <v>137.00174256536204</v>
      </c>
      <c r="Q9" s="28">
        <f aca="true" t="shared" si="12" ref="Q9:Q40">$E$1*$E$5/(1+$E$5)</f>
        <v>72.35621521335813</v>
      </c>
    </row>
    <row r="10" spans="1:17" ht="11.25">
      <c r="A10" s="26">
        <f aca="true" t="shared" si="13" ref="A10:A41">A9+1</f>
        <v>11</v>
      </c>
      <c r="B10" s="26"/>
      <c r="C10" s="25">
        <f t="shared" si="0"/>
        <v>112.34874424909106</v>
      </c>
      <c r="D10" s="26">
        <f t="shared" si="1"/>
        <v>119.99999999999999</v>
      </c>
      <c r="E10" s="26">
        <f t="shared" si="2"/>
        <v>134.85194683089284</v>
      </c>
      <c r="F10" s="26">
        <f t="shared" si="3"/>
        <v>612.9633946858766</v>
      </c>
      <c r="G10" s="26"/>
      <c r="H10" s="26">
        <f t="shared" si="4"/>
        <v>18.11533175001855</v>
      </c>
      <c r="I10" s="26">
        <f t="shared" si="5"/>
        <v>17.959183673469386</v>
      </c>
      <c r="J10" s="26">
        <f t="shared" si="6"/>
        <v>17.65608271773688</v>
      </c>
      <c r="K10" s="26">
        <f t="shared" si="7"/>
        <v>80.25492144425856</v>
      </c>
      <c r="L10" s="26"/>
      <c r="M10" s="26">
        <f t="shared" si="8"/>
        <v>26.682005613570595</v>
      </c>
      <c r="N10" s="26">
        <f t="shared" si="9"/>
        <v>27.235621521335805</v>
      </c>
      <c r="O10" s="26">
        <f t="shared" si="10"/>
        <v>28.310252182569236</v>
      </c>
      <c r="P10" s="26">
        <f t="shared" si="11"/>
        <v>128.6829644662238</v>
      </c>
      <c r="Q10" s="26">
        <f t="shared" si="12"/>
        <v>72.35621521335813</v>
      </c>
    </row>
    <row r="11" spans="1:17" ht="11.25">
      <c r="A11" s="26">
        <f t="shared" si="13"/>
        <v>12</v>
      </c>
      <c r="B11" s="26"/>
      <c r="C11" s="25">
        <f t="shared" si="0"/>
        <v>120.9266219171001</v>
      </c>
      <c r="D11" s="26">
        <f t="shared" si="1"/>
        <v>130</v>
      </c>
      <c r="E11" s="26">
        <f t="shared" si="2"/>
        <v>147.6612060863487</v>
      </c>
      <c r="F11" s="26">
        <f t="shared" si="3"/>
        <v>615.2550253597863</v>
      </c>
      <c r="G11" s="26"/>
      <c r="H11" s="26">
        <f t="shared" si="4"/>
        <v>17.940273022099998</v>
      </c>
      <c r="I11" s="26">
        <f t="shared" si="5"/>
        <v>17.75510204081633</v>
      </c>
      <c r="J11" s="26">
        <f t="shared" si="6"/>
        <v>17.394669263543907</v>
      </c>
      <c r="K11" s="26">
        <f t="shared" si="7"/>
        <v>72.47778859809961</v>
      </c>
      <c r="L11" s="26"/>
      <c r="M11" s="26">
        <f t="shared" si="8"/>
        <v>27.302668376190915</v>
      </c>
      <c r="N11" s="26">
        <f t="shared" si="9"/>
        <v>27.959183673469386</v>
      </c>
      <c r="O11" s="26">
        <f t="shared" si="10"/>
        <v>29.23708170198071</v>
      </c>
      <c r="P11" s="26">
        <f t="shared" si="11"/>
        <v>121.82117375825294</v>
      </c>
      <c r="Q11" s="26">
        <f t="shared" si="12"/>
        <v>72.35621521335813</v>
      </c>
    </row>
    <row r="12" spans="1:17" ht="11.25">
      <c r="A12" s="26">
        <f t="shared" si="13"/>
        <v>13</v>
      </c>
      <c r="B12" s="26"/>
      <c r="C12" s="25">
        <f t="shared" si="0"/>
        <v>129.3920825957767</v>
      </c>
      <c r="D12" s="26">
        <f t="shared" si="1"/>
        <v>140</v>
      </c>
      <c r="E12" s="26">
        <f t="shared" si="2"/>
        <v>160.70141635894547</v>
      </c>
      <c r="F12" s="26">
        <f t="shared" si="3"/>
        <v>618.0823706113288</v>
      </c>
      <c r="G12" s="26"/>
      <c r="H12" s="26">
        <f t="shared" si="4"/>
        <v>17.767508518453536</v>
      </c>
      <c r="I12" s="26">
        <f t="shared" si="5"/>
        <v>17.551020408163264</v>
      </c>
      <c r="J12" s="26">
        <f t="shared" si="6"/>
        <v>17.128542523286825</v>
      </c>
      <c r="K12" s="26">
        <f t="shared" si="7"/>
        <v>65.87900970494933</v>
      </c>
      <c r="L12" s="26"/>
      <c r="M12" s="26">
        <f t="shared" si="8"/>
        <v>27.91519707093746</v>
      </c>
      <c r="N12" s="26">
        <f t="shared" si="9"/>
        <v>28.682745825602964</v>
      </c>
      <c r="O12" s="26">
        <f t="shared" si="10"/>
        <v>30.18062196289215</v>
      </c>
      <c r="P12" s="26">
        <f t="shared" si="11"/>
        <v>116.07931524189291</v>
      </c>
      <c r="Q12" s="26">
        <f t="shared" si="12"/>
        <v>72.35621521335813</v>
      </c>
    </row>
    <row r="13" spans="1:17" ht="11.25">
      <c r="A13" s="26">
        <f t="shared" si="13"/>
        <v>14</v>
      </c>
      <c r="B13" s="26"/>
      <c r="C13" s="25">
        <f t="shared" si="0"/>
        <v>137.74679516215684</v>
      </c>
      <c r="D13" s="26">
        <f t="shared" si="1"/>
        <v>150</v>
      </c>
      <c r="E13" s="26">
        <f t="shared" si="2"/>
        <v>173.96939701205417</v>
      </c>
      <c r="F13" s="26">
        <f t="shared" si="3"/>
        <v>621.3192750430507</v>
      </c>
      <c r="G13" s="26"/>
      <c r="H13" s="26">
        <f t="shared" si="4"/>
        <v>17.597004180364145</v>
      </c>
      <c r="I13" s="26">
        <f t="shared" si="5"/>
        <v>17.346938775510203</v>
      </c>
      <c r="J13" s="26">
        <f t="shared" si="6"/>
        <v>16.85776740791726</v>
      </c>
      <c r="K13" s="26">
        <f t="shared" si="7"/>
        <v>60.206312171133085</v>
      </c>
      <c r="L13" s="26"/>
      <c r="M13" s="26">
        <f t="shared" si="8"/>
        <v>28.519712451436206</v>
      </c>
      <c r="N13" s="26">
        <f t="shared" si="9"/>
        <v>29.406307977736546</v>
      </c>
      <c r="O13" s="26">
        <f t="shared" si="10"/>
        <v>31.14064282647516</v>
      </c>
      <c r="P13" s="26">
        <f t="shared" si="11"/>
        <v>111.2165815231256</v>
      </c>
      <c r="Q13" s="26">
        <f t="shared" si="12"/>
        <v>72.35621521335813</v>
      </c>
    </row>
    <row r="14" spans="1:17" ht="11.25">
      <c r="A14" s="28">
        <f t="shared" si="13"/>
        <v>15</v>
      </c>
      <c r="B14" s="28"/>
      <c r="C14" s="29">
        <f t="shared" si="0"/>
        <v>145.9924019749861</v>
      </c>
      <c r="D14" s="28">
        <f t="shared" si="1"/>
        <v>160</v>
      </c>
      <c r="E14" s="28">
        <f t="shared" si="2"/>
        <v>187.46177123883072</v>
      </c>
      <c r="F14" s="28">
        <f t="shared" si="3"/>
        <v>624.8725707961024</v>
      </c>
      <c r="G14" s="28"/>
      <c r="H14" s="28">
        <f t="shared" si="4"/>
        <v>17.42872649030641</v>
      </c>
      <c r="I14" s="28">
        <f t="shared" si="5"/>
        <v>17.142857142857146</v>
      </c>
      <c r="J14" s="28">
        <f t="shared" si="6"/>
        <v>16.582412831860598</v>
      </c>
      <c r="K14" s="28">
        <f t="shared" si="7"/>
        <v>55.27470943953533</v>
      </c>
      <c r="L14" s="28"/>
      <c r="M14" s="28">
        <f t="shared" si="8"/>
        <v>29.116333352550015</v>
      </c>
      <c r="N14" s="28">
        <f t="shared" si="9"/>
        <v>30.12987012987013</v>
      </c>
      <c r="O14" s="28">
        <f t="shared" si="10"/>
        <v>32.11689995976697</v>
      </c>
      <c r="P14" s="28">
        <f t="shared" si="11"/>
        <v>107.05633319922325</v>
      </c>
      <c r="Q14" s="28">
        <f t="shared" si="12"/>
        <v>72.35621521335813</v>
      </c>
    </row>
    <row r="15" spans="1:17" ht="11.25">
      <c r="A15" s="26">
        <f t="shared" si="13"/>
        <v>16</v>
      </c>
      <c r="B15" s="26"/>
      <c r="C15" s="25">
        <f t="shared" si="0"/>
        <v>154.1305193145185</v>
      </c>
      <c r="D15" s="26">
        <f t="shared" si="1"/>
        <v>170</v>
      </c>
      <c r="E15" s="26">
        <f t="shared" si="2"/>
        <v>201.1749781219138</v>
      </c>
      <c r="F15" s="26">
        <f t="shared" si="3"/>
        <v>628.6718066309807</v>
      </c>
      <c r="G15" s="26"/>
      <c r="H15" s="26">
        <f t="shared" si="4"/>
        <v>17.262642462969012</v>
      </c>
      <c r="I15" s="26">
        <f t="shared" si="5"/>
        <v>16.93877551020408</v>
      </c>
      <c r="J15" s="26">
        <f t="shared" si="6"/>
        <v>16.302551466899715</v>
      </c>
      <c r="K15" s="26">
        <f t="shared" si="7"/>
        <v>50.94547333406162</v>
      </c>
      <c r="L15" s="26"/>
      <c r="M15" s="26">
        <f t="shared" si="8"/>
        <v>29.70517672220078</v>
      </c>
      <c r="N15" s="26">
        <f t="shared" si="9"/>
        <v>30.85343228200371</v>
      </c>
      <c r="O15" s="26">
        <f t="shared" si="10"/>
        <v>33.10913570826463</v>
      </c>
      <c r="P15" s="26">
        <f t="shared" si="11"/>
        <v>103.46604908832698</v>
      </c>
      <c r="Q15" s="26">
        <f t="shared" si="12"/>
        <v>72.35621521335813</v>
      </c>
    </row>
    <row r="16" spans="1:17" ht="11.25">
      <c r="A16" s="26">
        <f t="shared" si="13"/>
        <v>17</v>
      </c>
      <c r="B16" s="26"/>
      <c r="C16" s="25">
        <f t="shared" si="0"/>
        <v>162.1627378148029</v>
      </c>
      <c r="D16" s="26">
        <f t="shared" si="1"/>
        <v>180</v>
      </c>
      <c r="E16" s="26">
        <f t="shared" si="2"/>
        <v>215.10528511389217</v>
      </c>
      <c r="F16" s="26">
        <f t="shared" si="3"/>
        <v>632.6626032761534</v>
      </c>
      <c r="G16" s="26"/>
      <c r="H16" s="26">
        <f t="shared" si="4"/>
        <v>17.098719636432595</v>
      </c>
      <c r="I16" s="26">
        <f t="shared" si="5"/>
        <v>16.73469387755102</v>
      </c>
      <c r="J16" s="26">
        <f t="shared" si="6"/>
        <v>16.01825948747159</v>
      </c>
      <c r="K16" s="26">
        <f t="shared" si="7"/>
        <v>47.1125279043282</v>
      </c>
      <c r="L16" s="26"/>
      <c r="M16" s="26">
        <f t="shared" si="8"/>
        <v>30.28635765264808</v>
      </c>
      <c r="N16" s="26">
        <f t="shared" si="9"/>
        <v>31.57699443413729</v>
      </c>
      <c r="O16" s="26">
        <f t="shared" si="10"/>
        <v>34.117079998964364</v>
      </c>
      <c r="P16" s="26">
        <f t="shared" si="11"/>
        <v>100.34435293813048</v>
      </c>
      <c r="Q16" s="26">
        <f t="shared" si="12"/>
        <v>72.35621521335813</v>
      </c>
    </row>
    <row r="17" spans="1:17" ht="11.25">
      <c r="A17" s="26">
        <f t="shared" si="13"/>
        <v>18</v>
      </c>
      <c r="B17" s="26"/>
      <c r="C17" s="25">
        <f t="shared" si="0"/>
        <v>170.09062288858976</v>
      </c>
      <c r="D17" s="26">
        <f t="shared" si="1"/>
        <v>190</v>
      </c>
      <c r="E17" s="26">
        <f t="shared" si="2"/>
        <v>229.24880085676946</v>
      </c>
      <c r="F17" s="26">
        <f t="shared" si="3"/>
        <v>636.8022246021375</v>
      </c>
      <c r="G17" s="26"/>
      <c r="H17" s="26">
        <f t="shared" si="4"/>
        <v>16.936926063498166</v>
      </c>
      <c r="I17" s="26">
        <f t="shared" si="5"/>
        <v>16.530612244897963</v>
      </c>
      <c r="J17" s="26">
        <f t="shared" si="6"/>
        <v>15.729616309045522</v>
      </c>
      <c r="K17" s="26">
        <f t="shared" si="7"/>
        <v>43.69337863623756</v>
      </c>
      <c r="L17" s="26"/>
      <c r="M17" s="26">
        <f t="shared" si="8"/>
        <v>30.85998941123377</v>
      </c>
      <c r="N17" s="26">
        <f t="shared" si="9"/>
        <v>32.30055658627088</v>
      </c>
      <c r="O17" s="26">
        <f t="shared" si="10"/>
        <v>35.140451267929514</v>
      </c>
      <c r="P17" s="26">
        <f t="shared" si="11"/>
        <v>97.61236463313755</v>
      </c>
      <c r="Q17" s="26">
        <f t="shared" si="12"/>
        <v>72.35621521335813</v>
      </c>
    </row>
    <row r="18" spans="1:17" ht="11.25">
      <c r="A18" s="26">
        <f t="shared" si="13"/>
        <v>19</v>
      </c>
      <c r="B18" s="26"/>
      <c r="C18" s="25">
        <f t="shared" si="0"/>
        <v>177.9157151449855</v>
      </c>
      <c r="D18" s="26">
        <f t="shared" si="1"/>
        <v>199.99999999999994</v>
      </c>
      <c r="E18" s="26">
        <f t="shared" si="2"/>
        <v>243.60148825881961</v>
      </c>
      <c r="F18" s="26">
        <f t="shared" si="3"/>
        <v>641.0565480495253</v>
      </c>
      <c r="G18" s="26"/>
      <c r="H18" s="26">
        <f t="shared" si="4"/>
        <v>16.777230303163563</v>
      </c>
      <c r="I18" s="26">
        <f t="shared" si="5"/>
        <v>16.3265306122449</v>
      </c>
      <c r="J18" s="26">
        <f t="shared" si="6"/>
        <v>15.436704321248579</v>
      </c>
      <c r="K18" s="26">
        <f t="shared" si="7"/>
        <v>40.6229061085489</v>
      </c>
      <c r="L18" s="26"/>
      <c r="M18" s="26">
        <f t="shared" si="8"/>
        <v>31.426183470601924</v>
      </c>
      <c r="N18" s="26">
        <f t="shared" si="9"/>
        <v>33.02411873840445</v>
      </c>
      <c r="O18" s="26">
        <f t="shared" si="10"/>
        <v>36.178957406482304</v>
      </c>
      <c r="P18" s="26">
        <f t="shared" si="11"/>
        <v>95.20778264863766</v>
      </c>
      <c r="Q18" s="26">
        <f t="shared" si="12"/>
        <v>72.35621521335813</v>
      </c>
    </row>
    <row r="19" spans="1:17" ht="11.25">
      <c r="A19" s="28">
        <f t="shared" si="13"/>
        <v>20</v>
      </c>
      <c r="B19" s="28"/>
      <c r="C19" s="29">
        <f t="shared" si="0"/>
        <v>185.63953079998151</v>
      </c>
      <c r="D19" s="28">
        <f t="shared" si="1"/>
        <v>210</v>
      </c>
      <c r="E19" s="28">
        <f t="shared" si="2"/>
        <v>258.1591777481765</v>
      </c>
      <c r="F19" s="28">
        <f t="shared" si="3"/>
        <v>645.3979443704412</v>
      </c>
      <c r="G19" s="28"/>
      <c r="H19" s="28">
        <f t="shared" si="4"/>
        <v>16.619601412245274</v>
      </c>
      <c r="I19" s="28">
        <f t="shared" si="5"/>
        <v>16.122448979591837</v>
      </c>
      <c r="J19" s="28">
        <f t="shared" si="6"/>
        <v>15.139608617384152</v>
      </c>
      <c r="K19" s="28">
        <f t="shared" si="7"/>
        <v>37.84902154346039</v>
      </c>
      <c r="L19" s="28"/>
      <c r="M19" s="28">
        <f t="shared" si="8"/>
        <v>31.985049538403118</v>
      </c>
      <c r="N19" s="28">
        <f t="shared" si="9"/>
        <v>33.74768089053803</v>
      </c>
      <c r="O19" s="28">
        <f t="shared" si="10"/>
        <v>37.232296720183456</v>
      </c>
      <c r="P19" s="28">
        <f t="shared" si="11"/>
        <v>93.08074180045864</v>
      </c>
      <c r="Q19" s="28">
        <f t="shared" si="12"/>
        <v>72.35621521335813</v>
      </c>
    </row>
    <row r="20" spans="1:17" ht="11.25">
      <c r="A20" s="26">
        <f t="shared" si="13"/>
        <v>21</v>
      </c>
      <c r="B20" s="26"/>
      <c r="C20" s="25">
        <f t="shared" si="0"/>
        <v>193.26356207998273</v>
      </c>
      <c r="D20" s="26">
        <f t="shared" si="1"/>
        <v>220</v>
      </c>
      <c r="E20" s="26">
        <f t="shared" si="2"/>
        <v>272.9175806241854</v>
      </c>
      <c r="F20" s="26">
        <f t="shared" si="3"/>
        <v>649.8037633909177</v>
      </c>
      <c r="G20" s="26"/>
      <c r="H20" s="26">
        <f t="shared" si="4"/>
        <v>16.464008937143213</v>
      </c>
      <c r="I20" s="26">
        <f t="shared" si="5"/>
        <v>15.918367346938778</v>
      </c>
      <c r="J20" s="26">
        <f t="shared" si="6"/>
        <v>14.8384167219554</v>
      </c>
      <c r="K20" s="26">
        <f t="shared" si="7"/>
        <v>35.329563623703336</v>
      </c>
      <c r="L20" s="26"/>
      <c r="M20" s="26">
        <f t="shared" si="8"/>
        <v>32.53669558649226</v>
      </c>
      <c r="N20" s="26">
        <f t="shared" si="9"/>
        <v>34.47124304267162</v>
      </c>
      <c r="O20" s="26">
        <f t="shared" si="10"/>
        <v>38.3001588948854</v>
      </c>
      <c r="P20" s="26">
        <f t="shared" si="11"/>
        <v>91.1908545116319</v>
      </c>
      <c r="Q20" s="26">
        <f t="shared" si="12"/>
        <v>72.35621521335813</v>
      </c>
    </row>
    <row r="21" spans="1:17" ht="11.25">
      <c r="A21" s="26">
        <f t="shared" si="13"/>
        <v>22</v>
      </c>
      <c r="B21" s="26"/>
      <c r="C21" s="25">
        <f t="shared" si="0"/>
        <v>200.78927761845657</v>
      </c>
      <c r="D21" s="26">
        <f t="shared" si="1"/>
        <v>230</v>
      </c>
      <c r="E21" s="26">
        <f t="shared" si="2"/>
        <v>287.8723024299198</v>
      </c>
      <c r="F21" s="26">
        <f t="shared" si="3"/>
        <v>654.2552327952721</v>
      </c>
      <c r="G21" s="26"/>
      <c r="H21" s="26">
        <f t="shared" si="4"/>
        <v>16.310422905745785</v>
      </c>
      <c r="I21" s="26">
        <f t="shared" si="5"/>
        <v>15.714285714285715</v>
      </c>
      <c r="J21" s="26">
        <f t="shared" si="6"/>
        <v>14.53321831775674</v>
      </c>
      <c r="K21" s="26">
        <f t="shared" si="7"/>
        <v>33.03004163126531</v>
      </c>
      <c r="L21" s="26"/>
      <c r="M21" s="26">
        <f t="shared" si="8"/>
        <v>33.081227879628585</v>
      </c>
      <c r="N21" s="26">
        <f t="shared" si="9"/>
        <v>35.19480519480519</v>
      </c>
      <c r="O21" s="26">
        <f t="shared" si="10"/>
        <v>39.382225964317016</v>
      </c>
      <c r="P21" s="26">
        <f t="shared" si="11"/>
        <v>89.50505900981139</v>
      </c>
      <c r="Q21" s="26">
        <f t="shared" si="12"/>
        <v>72.35621521335813</v>
      </c>
    </row>
    <row r="22" spans="1:17" ht="11.25">
      <c r="A22" s="26">
        <f t="shared" si="13"/>
        <v>23</v>
      </c>
      <c r="B22" s="26"/>
      <c r="C22" s="25">
        <f t="shared" si="0"/>
        <v>208.21812284582276</v>
      </c>
      <c r="D22" s="26">
        <f t="shared" si="1"/>
        <v>240</v>
      </c>
      <c r="E22" s="26">
        <f t="shared" si="2"/>
        <v>303.01885627225596</v>
      </c>
      <c r="F22" s="26">
        <f t="shared" si="3"/>
        <v>658.7366440701217</v>
      </c>
      <c r="G22" s="26"/>
      <c r="H22" s="26">
        <f t="shared" si="4"/>
        <v>16.158813819473007</v>
      </c>
      <c r="I22" s="26">
        <f t="shared" si="5"/>
        <v>15.510204081632653</v>
      </c>
      <c r="J22" s="26">
        <f t="shared" si="6"/>
        <v>14.22410497403559</v>
      </c>
      <c r="K22" s="26">
        <f t="shared" si="7"/>
        <v>30.921967334859982</v>
      </c>
      <c r="L22" s="26"/>
      <c r="M22" s="26">
        <f t="shared" si="8"/>
        <v>33.618751003686626</v>
      </c>
      <c r="N22" s="26">
        <f t="shared" si="9"/>
        <v>35.91836734693877</v>
      </c>
      <c r="O22" s="26">
        <f t="shared" si="10"/>
        <v>40.4781732738738</v>
      </c>
      <c r="P22" s="26">
        <f t="shared" si="11"/>
        <v>87.9960288562474</v>
      </c>
      <c r="Q22" s="26">
        <f t="shared" si="12"/>
        <v>72.35621521335813</v>
      </c>
    </row>
    <row r="23" spans="1:17" ht="11.25">
      <c r="A23" s="26">
        <f t="shared" si="13"/>
        <v>24</v>
      </c>
      <c r="B23" s="26"/>
      <c r="C23" s="25">
        <f t="shared" si="0"/>
        <v>215.55152037270184</v>
      </c>
      <c r="D23" s="26">
        <f t="shared" si="1"/>
        <v>250.00000000000003</v>
      </c>
      <c r="E23" s="26">
        <f t="shared" si="2"/>
        <v>318.35267601945435</v>
      </c>
      <c r="F23" s="26">
        <f t="shared" si="3"/>
        <v>663.2347417071966</v>
      </c>
      <c r="G23" s="26"/>
      <c r="H23" s="26">
        <f t="shared" si="4"/>
        <v>16.009152645455064</v>
      </c>
      <c r="I23" s="26">
        <f t="shared" si="5"/>
        <v>15.306122448979593</v>
      </c>
      <c r="J23" s="26">
        <f t="shared" si="6"/>
        <v>13.911169877153993</v>
      </c>
      <c r="K23" s="26">
        <f t="shared" si="7"/>
        <v>28.98160391073748</v>
      </c>
      <c r="L23" s="26"/>
      <c r="M23" s="26">
        <f t="shared" si="8"/>
        <v>34.14936789338659</v>
      </c>
      <c r="N23" s="26">
        <f t="shared" si="9"/>
        <v>36.641929499072354</v>
      </c>
      <c r="O23" s="26">
        <f t="shared" si="10"/>
        <v>41.58767043554493</v>
      </c>
      <c r="P23" s="26">
        <f t="shared" si="11"/>
        <v>86.64098007405194</v>
      </c>
      <c r="Q23" s="26">
        <f t="shared" si="12"/>
        <v>72.35621521335813</v>
      </c>
    </row>
    <row r="24" spans="1:17" ht="11.25">
      <c r="A24" s="28">
        <f t="shared" si="13"/>
        <v>25</v>
      </c>
      <c r="B24" s="28"/>
      <c r="C24" s="29">
        <f t="shared" si="0"/>
        <v>222.7908703666379</v>
      </c>
      <c r="D24" s="28">
        <f t="shared" si="1"/>
        <v>259.99999999999994</v>
      </c>
      <c r="E24" s="28">
        <f t="shared" si="2"/>
        <v>333.86912931022704</v>
      </c>
      <c r="F24" s="28">
        <f t="shared" si="3"/>
        <v>667.7382586204541</v>
      </c>
      <c r="G24" s="28"/>
      <c r="H24" s="28">
        <f t="shared" si="4"/>
        <v>15.861410808844123</v>
      </c>
      <c r="I24" s="28">
        <f t="shared" si="5"/>
        <v>15.10204081632653</v>
      </c>
      <c r="J24" s="28">
        <f t="shared" si="6"/>
        <v>13.594507565097405</v>
      </c>
      <c r="K24" s="28">
        <f t="shared" si="7"/>
        <v>27.18901513019481</v>
      </c>
      <c r="L24" s="28"/>
      <c r="M24" s="28">
        <f t="shared" si="8"/>
        <v>34.67317985955265</v>
      </c>
      <c r="N24" s="28">
        <f t="shared" si="9"/>
        <v>37.36549165120593</v>
      </c>
      <c r="O24" s="28">
        <f t="shared" si="10"/>
        <v>42.710382269200096</v>
      </c>
      <c r="P24" s="28">
        <f t="shared" si="11"/>
        <v>85.42076453840019</v>
      </c>
      <c r="Q24" s="28">
        <f t="shared" si="12"/>
        <v>72.35621521335813</v>
      </c>
    </row>
    <row r="25" spans="1:17" ht="11.25">
      <c r="A25" s="26">
        <f t="shared" si="13"/>
        <v>26</v>
      </c>
      <c r="B25" s="26"/>
      <c r="C25" s="25">
        <f t="shared" si="0"/>
        <v>229.93755092240878</v>
      </c>
      <c r="D25" s="26">
        <f t="shared" si="1"/>
        <v>269.99999999999994</v>
      </c>
      <c r="E25" s="26">
        <f t="shared" si="2"/>
        <v>349.5635303127215</v>
      </c>
      <c r="F25" s="26">
        <f t="shared" si="3"/>
        <v>672.2375582936952</v>
      </c>
      <c r="G25" s="26"/>
      <c r="H25" s="26">
        <f t="shared" si="4"/>
        <v>15.715560185256965</v>
      </c>
      <c r="I25" s="26">
        <f t="shared" si="5"/>
        <v>14.897959183673468</v>
      </c>
      <c r="J25" s="26">
        <f t="shared" si="6"/>
        <v>13.274213667087313</v>
      </c>
      <c r="K25" s="26">
        <f t="shared" si="7"/>
        <v>25.527333975167913</v>
      </c>
      <c r="L25" s="26"/>
      <c r="M25" s="26">
        <f t="shared" si="8"/>
        <v>35.19028661590713</v>
      </c>
      <c r="N25" s="26">
        <f t="shared" si="9"/>
        <v>38.08905380333951</v>
      </c>
      <c r="O25" s="26">
        <f t="shared" si="10"/>
        <v>43.84596972578133</v>
      </c>
      <c r="P25" s="26">
        <f t="shared" si="11"/>
        <v>84.31917254957948</v>
      </c>
      <c r="Q25" s="26">
        <f t="shared" si="12"/>
        <v>72.35621521335813</v>
      </c>
    </row>
    <row r="26" spans="1:17" ht="11.25">
      <c r="A26" s="26">
        <f t="shared" si="13"/>
        <v>27</v>
      </c>
      <c r="B26" s="26"/>
      <c r="C26" s="25">
        <f t="shared" si="0"/>
        <v>236.99291842603614</v>
      </c>
      <c r="D26" s="26">
        <f t="shared" si="1"/>
        <v>280</v>
      </c>
      <c r="E26" s="26">
        <f t="shared" si="2"/>
        <v>365.43115217663063</v>
      </c>
      <c r="F26" s="26">
        <f t="shared" si="3"/>
        <v>676.7243558826493</v>
      </c>
      <c r="G26" s="26"/>
      <c r="H26" s="26">
        <f t="shared" si="4"/>
        <v>15.5715730933462</v>
      </c>
      <c r="I26" s="26">
        <f t="shared" si="5"/>
        <v>14.693877551020408</v>
      </c>
      <c r="J26" s="26">
        <f t="shared" si="6"/>
        <v>12.950384649456518</v>
      </c>
      <c r="K26" s="26">
        <f t="shared" si="7"/>
        <v>23.982193795289845</v>
      </c>
      <c r="L26" s="26"/>
      <c r="M26" s="26">
        <f t="shared" si="8"/>
        <v>35.70078630540892</v>
      </c>
      <c r="N26" s="26">
        <f t="shared" si="9"/>
        <v>38.81261595547309</v>
      </c>
      <c r="O26" s="26">
        <f t="shared" si="10"/>
        <v>44.99409078829053</v>
      </c>
      <c r="P26" s="26">
        <f t="shared" si="11"/>
        <v>83.32239034868616</v>
      </c>
      <c r="Q26" s="26">
        <f t="shared" si="12"/>
        <v>72.35621521335813</v>
      </c>
    </row>
    <row r="27" spans="1:17" ht="11.25">
      <c r="A27" s="26">
        <f t="shared" si="13"/>
        <v>28</v>
      </c>
      <c r="B27" s="26"/>
      <c r="C27" s="25">
        <f t="shared" si="0"/>
        <v>243.9583079126042</v>
      </c>
      <c r="D27" s="26">
        <f t="shared" si="1"/>
        <v>290</v>
      </c>
      <c r="E27" s="26">
        <f t="shared" si="2"/>
        <v>381.4672391266839</v>
      </c>
      <c r="F27" s="26">
        <f t="shared" si="3"/>
        <v>681.191498440507</v>
      </c>
      <c r="G27" s="26"/>
      <c r="H27" s="26">
        <f t="shared" si="4"/>
        <v>15.429422287497873</v>
      </c>
      <c r="I27" s="26">
        <f t="shared" si="5"/>
        <v>14.489795918367346</v>
      </c>
      <c r="J27" s="26">
        <f t="shared" si="6"/>
        <v>12.623117568843183</v>
      </c>
      <c r="K27" s="26">
        <f t="shared" si="7"/>
        <v>22.541281372934257</v>
      </c>
      <c r="L27" s="26"/>
      <c r="M27" s="26">
        <f t="shared" si="8"/>
        <v>36.2047755261439</v>
      </c>
      <c r="N27" s="26">
        <f t="shared" si="9"/>
        <v>39.53617810760668</v>
      </c>
      <c r="O27" s="26">
        <f t="shared" si="10"/>
        <v>46.1544013468287</v>
      </c>
      <c r="P27" s="26">
        <f t="shared" si="11"/>
        <v>82.41857383362269</v>
      </c>
      <c r="Q27" s="26">
        <f t="shared" si="12"/>
        <v>72.35621521335813</v>
      </c>
    </row>
    <row r="28" spans="1:17" ht="11.25">
      <c r="A28" s="26">
        <f t="shared" si="13"/>
        <v>29</v>
      </c>
      <c r="B28" s="26"/>
      <c r="C28" s="25">
        <f t="shared" si="0"/>
        <v>250.8350334179951</v>
      </c>
      <c r="D28" s="26">
        <f t="shared" si="1"/>
        <v>300</v>
      </c>
      <c r="E28" s="26">
        <f t="shared" si="2"/>
        <v>397.6670181510026</v>
      </c>
      <c r="F28" s="26">
        <f t="shared" si="3"/>
        <v>685.6327899155217</v>
      </c>
      <c r="G28" s="26"/>
      <c r="H28" s="26">
        <f t="shared" si="4"/>
        <v>15.28908095065316</v>
      </c>
      <c r="I28" s="26">
        <f t="shared" si="5"/>
        <v>14.285714285714285</v>
      </c>
      <c r="J28" s="26">
        <f t="shared" si="6"/>
        <v>12.292509833653012</v>
      </c>
      <c r="K28" s="26">
        <f t="shared" si="7"/>
        <v>21.193982471815538</v>
      </c>
      <c r="L28" s="26"/>
      <c r="M28" s="26">
        <f t="shared" si="8"/>
        <v>36.70234935677515</v>
      </c>
      <c r="N28" s="26">
        <f t="shared" si="9"/>
        <v>40.259740259740255</v>
      </c>
      <c r="O28" s="26">
        <f t="shared" si="10"/>
        <v>47.32655604432116</v>
      </c>
      <c r="P28" s="26">
        <f t="shared" si="11"/>
        <v>81.59751042124337</v>
      </c>
      <c r="Q28" s="26">
        <f t="shared" si="12"/>
        <v>72.35621521335813</v>
      </c>
    </row>
    <row r="29" spans="1:17" ht="11.25">
      <c r="A29" s="28">
        <f t="shared" si="13"/>
        <v>30</v>
      </c>
      <c r="B29" s="28"/>
      <c r="C29" s="29">
        <f t="shared" si="0"/>
        <v>257.6243883246473</v>
      </c>
      <c r="D29" s="28">
        <f t="shared" si="1"/>
        <v>309.9999999999999</v>
      </c>
      <c r="E29" s="28">
        <f t="shared" si="2"/>
        <v>414.0257102431488</v>
      </c>
      <c r="F29" s="28">
        <f t="shared" si="3"/>
        <v>690.042850405248</v>
      </c>
      <c r="G29" s="28"/>
      <c r="H29" s="28">
        <f t="shared" si="4"/>
        <v>15.150522687252097</v>
      </c>
      <c r="I29" s="28">
        <f t="shared" si="5"/>
        <v>14.081632653061229</v>
      </c>
      <c r="J29" s="28">
        <f t="shared" si="6"/>
        <v>11.958658974629618</v>
      </c>
      <c r="K29" s="28">
        <f t="shared" si="7"/>
        <v>19.93109829104936</v>
      </c>
      <c r="L29" s="28"/>
      <c r="M29" s="28">
        <f t="shared" si="8"/>
        <v>37.193601381560754</v>
      </c>
      <c r="N29" s="28">
        <f t="shared" si="9"/>
        <v>40.98330241187384</v>
      </c>
      <c r="O29" s="28">
        <f t="shared" si="10"/>
        <v>48.510209089949534</v>
      </c>
      <c r="P29" s="28">
        <f t="shared" si="11"/>
        <v>80.85034848324923</v>
      </c>
      <c r="Q29" s="28">
        <f t="shared" si="12"/>
        <v>72.35621521335813</v>
      </c>
    </row>
    <row r="30" spans="1:17" ht="11.25">
      <c r="A30" s="26">
        <f t="shared" si="13"/>
        <v>31</v>
      </c>
      <c r="B30" s="26"/>
      <c r="C30" s="25">
        <f t="shared" si="0"/>
        <v>264.32764570143974</v>
      </c>
      <c r="D30" s="26">
        <f t="shared" si="1"/>
        <v>320.00000000000006</v>
      </c>
      <c r="E30" s="26">
        <f t="shared" si="2"/>
        <v>430.53854116209146</v>
      </c>
      <c r="F30" s="26">
        <f t="shared" si="3"/>
        <v>694.417001874341</v>
      </c>
      <c r="G30" s="26"/>
      <c r="H30" s="26">
        <f t="shared" si="4"/>
        <v>15.01372151629715</v>
      </c>
      <c r="I30" s="26">
        <f t="shared" si="5"/>
        <v>13.877551020408161</v>
      </c>
      <c r="J30" s="26">
        <f t="shared" si="6"/>
        <v>11.62166242526344</v>
      </c>
      <c r="K30" s="26">
        <f t="shared" si="7"/>
        <v>18.744616814941036</v>
      </c>
      <c r="L30" s="26"/>
      <c r="M30" s="26">
        <f t="shared" si="8"/>
        <v>37.678623714946475</v>
      </c>
      <c r="N30" s="26">
        <f t="shared" si="9"/>
        <v>41.706864564007425</v>
      </c>
      <c r="O30" s="26">
        <f t="shared" si="10"/>
        <v>49.70501503770235</v>
      </c>
      <c r="P30" s="26">
        <f t="shared" si="11"/>
        <v>80.16937909306832</v>
      </c>
      <c r="Q30" s="26">
        <f t="shared" si="12"/>
        <v>72.35621521335813</v>
      </c>
    </row>
    <row r="31" spans="1:17" ht="11.25">
      <c r="A31" s="26">
        <f t="shared" si="13"/>
        <v>32</v>
      </c>
      <c r="B31" s="26"/>
      <c r="C31" s="25">
        <f t="shared" si="0"/>
        <v>270.94605863780436</v>
      </c>
      <c r="D31" s="26">
        <f t="shared" si="1"/>
        <v>330</v>
      </c>
      <c r="E31" s="26">
        <f t="shared" si="2"/>
        <v>447.20075167968275</v>
      </c>
      <c r="F31" s="26">
        <f t="shared" si="3"/>
        <v>698.7511744995043</v>
      </c>
      <c r="G31" s="26"/>
      <c r="H31" s="26">
        <f t="shared" si="4"/>
        <v>14.878651864534607</v>
      </c>
      <c r="I31" s="26">
        <f t="shared" si="5"/>
        <v>13.673469387755102</v>
      </c>
      <c r="J31" s="26">
        <f t="shared" si="6"/>
        <v>11.281617312659536</v>
      </c>
      <c r="K31" s="26">
        <f t="shared" si="7"/>
        <v>17.627527051030526</v>
      </c>
      <c r="L31" s="26"/>
      <c r="M31" s="26">
        <f t="shared" si="8"/>
        <v>38.15750702574095</v>
      </c>
      <c r="N31" s="26">
        <f t="shared" si="9"/>
        <v>42.430426716141</v>
      </c>
      <c r="O31" s="26">
        <f t="shared" si="10"/>
        <v>50.91062952784346</v>
      </c>
      <c r="P31" s="26">
        <f t="shared" si="11"/>
        <v>79.5478586372554</v>
      </c>
      <c r="Q31" s="26">
        <f t="shared" si="12"/>
        <v>72.35621521335813</v>
      </c>
    </row>
    <row r="32" spans="1:17" ht="11.25">
      <c r="A32" s="26">
        <f t="shared" si="13"/>
        <v>33</v>
      </c>
      <c r="B32" s="26"/>
      <c r="C32" s="25">
        <f t="shared" si="0"/>
        <v>277.48086057216784</v>
      </c>
      <c r="D32" s="26">
        <f t="shared" si="1"/>
        <v>340.00000000000006</v>
      </c>
      <c r="E32" s="26">
        <f t="shared" si="2"/>
        <v>464.00760729055133</v>
      </c>
      <c r="F32" s="26">
        <f t="shared" si="3"/>
        <v>703.0418292281081</v>
      </c>
      <c r="G32" s="26"/>
      <c r="H32" s="26">
        <f t="shared" si="4"/>
        <v>14.745288559751675</v>
      </c>
      <c r="I32" s="26">
        <f t="shared" si="5"/>
        <v>13.469387755102039</v>
      </c>
      <c r="J32" s="26">
        <f t="shared" si="6"/>
        <v>10.938620259376505</v>
      </c>
      <c r="K32" s="26">
        <f t="shared" si="7"/>
        <v>16.573667059661368</v>
      </c>
      <c r="L32" s="26"/>
      <c r="M32" s="26">
        <f t="shared" si="8"/>
        <v>38.63034056088041</v>
      </c>
      <c r="N32" s="26">
        <f t="shared" si="9"/>
        <v>43.15398886827459</v>
      </c>
      <c r="O32" s="26">
        <f t="shared" si="10"/>
        <v>52.12670998948331</v>
      </c>
      <c r="P32" s="26">
        <f t="shared" si="11"/>
        <v>78.97986362042926</v>
      </c>
      <c r="Q32" s="26">
        <f t="shared" si="12"/>
        <v>72.35621521335813</v>
      </c>
    </row>
    <row r="33" spans="1:17" ht="11.25">
      <c r="A33" s="26">
        <f t="shared" si="13"/>
        <v>34</v>
      </c>
      <c r="B33" s="26"/>
      <c r="C33" s="25">
        <f t="shared" si="0"/>
        <v>283.93326561482104</v>
      </c>
      <c r="D33" s="26">
        <f t="shared" si="1"/>
        <v>350.00000000000006</v>
      </c>
      <c r="E33" s="26">
        <f t="shared" si="2"/>
        <v>480.9544073644791</v>
      </c>
      <c r="F33" s="26">
        <f t="shared" si="3"/>
        <v>707.2858931830575</v>
      </c>
      <c r="G33" s="26"/>
      <c r="H33" s="26">
        <f t="shared" si="4"/>
        <v>14.613606824187327</v>
      </c>
      <c r="I33" s="26">
        <f t="shared" si="5"/>
        <v>13.265306122448978</v>
      </c>
      <c r="J33" s="26">
        <f t="shared" si="6"/>
        <v>10.592767196643283</v>
      </c>
      <c r="K33" s="26">
        <f t="shared" si="7"/>
        <v>15.577598818593064</v>
      </c>
      <c r="L33" s="26"/>
      <c r="M33" s="26">
        <f t="shared" si="8"/>
        <v>39.09721216879039</v>
      </c>
      <c r="N33" s="26">
        <f t="shared" si="9"/>
        <v>43.87755102040816</v>
      </c>
      <c r="O33" s="26">
        <f t="shared" si="10"/>
        <v>53.35291630281017</v>
      </c>
      <c r="P33" s="26">
        <f t="shared" si="11"/>
        <v>78.46017103354437</v>
      </c>
      <c r="Q33" s="26">
        <f t="shared" si="12"/>
        <v>72.35621521335813</v>
      </c>
    </row>
    <row r="34" spans="1:17" ht="11.25">
      <c r="A34" s="26">
        <f t="shared" si="13"/>
        <v>35</v>
      </c>
      <c r="B34" s="26"/>
      <c r="C34" s="25">
        <f t="shared" si="0"/>
        <v>290.3044688653097</v>
      </c>
      <c r="D34" s="26">
        <f t="shared" si="1"/>
        <v>359.99999999999983</v>
      </c>
      <c r="E34" s="26">
        <f t="shared" si="2"/>
        <v>498.03649372633674</v>
      </c>
      <c r="F34" s="26">
        <f t="shared" si="3"/>
        <v>711.4807053233382</v>
      </c>
      <c r="G34" s="26"/>
      <c r="H34" s="26">
        <f t="shared" si="4"/>
        <v>14.483582268054905</v>
      </c>
      <c r="I34" s="26">
        <f t="shared" si="5"/>
        <v>13.061224489795922</v>
      </c>
      <c r="J34" s="26">
        <f t="shared" si="6"/>
        <v>10.244153189258432</v>
      </c>
      <c r="K34" s="26">
        <f t="shared" si="7"/>
        <v>14.634504556083474</v>
      </c>
      <c r="L34" s="26"/>
      <c r="M34" s="26">
        <f t="shared" si="8"/>
        <v>39.55820832235079</v>
      </c>
      <c r="N34" s="26">
        <f t="shared" si="9"/>
        <v>44.60111317254173</v>
      </c>
      <c r="O34" s="26">
        <f t="shared" si="10"/>
        <v>54.58891141990192</v>
      </c>
      <c r="P34" s="26">
        <f t="shared" si="11"/>
        <v>77.98415917128844</v>
      </c>
      <c r="Q34" s="26">
        <f t="shared" si="12"/>
        <v>72.35621521335813</v>
      </c>
    </row>
    <row r="35" spans="1:17" ht="11.25">
      <c r="A35" s="26">
        <f t="shared" si="13"/>
        <v>36</v>
      </c>
      <c r="B35" s="26"/>
      <c r="C35" s="25">
        <f t="shared" si="0"/>
        <v>296.5956467244477</v>
      </c>
      <c r="D35" s="26">
        <f t="shared" si="1"/>
        <v>369.99999999999994</v>
      </c>
      <c r="E35" s="26">
        <f t="shared" si="2"/>
        <v>515.2492586534287</v>
      </c>
      <c r="F35" s="26">
        <f t="shared" si="3"/>
        <v>715.6239703519843</v>
      </c>
      <c r="G35" s="26"/>
      <c r="H35" s="26">
        <f t="shared" si="4"/>
        <v>14.355190883174537</v>
      </c>
      <c r="I35" s="26">
        <f t="shared" si="5"/>
        <v>12.85714285714286</v>
      </c>
      <c r="J35" s="26">
        <f t="shared" si="6"/>
        <v>9.892872272379005</v>
      </c>
      <c r="K35" s="26">
        <f t="shared" si="7"/>
        <v>13.740100378304174</v>
      </c>
      <c r="L35" s="26"/>
      <c r="M35" s="26">
        <f t="shared" si="8"/>
        <v>40.0134141414721</v>
      </c>
      <c r="N35" s="26">
        <f t="shared" si="9"/>
        <v>45.32467532467532</v>
      </c>
      <c r="O35" s="26">
        <f t="shared" si="10"/>
        <v>55.83436194338352</v>
      </c>
      <c r="P35" s="26">
        <f t="shared" si="11"/>
        <v>77.547724921366</v>
      </c>
      <c r="Q35" s="26">
        <f t="shared" si="12"/>
        <v>72.35621521335813</v>
      </c>
    </row>
    <row r="36" spans="1:17" ht="11.25">
      <c r="A36" s="26">
        <f t="shared" si="13"/>
        <v>37</v>
      </c>
      <c r="B36" s="26"/>
      <c r="C36" s="25">
        <f t="shared" si="0"/>
        <v>302.8079572010409</v>
      </c>
      <c r="D36" s="26">
        <f t="shared" si="1"/>
        <v>380</v>
      </c>
      <c r="E36" s="26">
        <f t="shared" si="2"/>
        <v>532.5881522846331</v>
      </c>
      <c r="F36" s="26">
        <f t="shared" si="3"/>
        <v>719.7137193035583</v>
      </c>
      <c r="G36" s="26"/>
      <c r="H36" s="26">
        <f t="shared" si="4"/>
        <v>14.228409036713451</v>
      </c>
      <c r="I36" s="26">
        <f t="shared" si="5"/>
        <v>12.653061224489798</v>
      </c>
      <c r="J36" s="26">
        <f t="shared" si="6"/>
        <v>9.53901730031361</v>
      </c>
      <c r="K36" s="26">
        <f t="shared" si="7"/>
        <v>12.890563919342714</v>
      </c>
      <c r="L36" s="26"/>
      <c r="M36" s="26">
        <f t="shared" si="8"/>
        <v>40.46291341528867</v>
      </c>
      <c r="N36" s="26">
        <f t="shared" si="9"/>
        <v>46.0482374768089</v>
      </c>
      <c r="O36" s="26">
        <f t="shared" si="10"/>
        <v>57.08893866252447</v>
      </c>
      <c r="P36" s="26">
        <f t="shared" si="11"/>
        <v>77.14721440881685</v>
      </c>
      <c r="Q36" s="26">
        <f t="shared" si="12"/>
        <v>72.35621521335813</v>
      </c>
    </row>
    <row r="37" spans="1:17" ht="11.25">
      <c r="A37" s="26">
        <f t="shared" si="13"/>
        <v>38</v>
      </c>
      <c r="B37" s="26"/>
      <c r="C37" s="25">
        <f t="shared" si="0"/>
        <v>308.9425402134143</v>
      </c>
      <c r="D37" s="26">
        <f t="shared" si="1"/>
        <v>390.00000000000006</v>
      </c>
      <c r="E37" s="26">
        <f t="shared" si="2"/>
        <v>550.0486894399723</v>
      </c>
      <c r="F37" s="26">
        <f t="shared" si="3"/>
        <v>723.7482755789109</v>
      </c>
      <c r="G37" s="26"/>
      <c r="H37" s="26">
        <f t="shared" si="4"/>
        <v>14.103213465032363</v>
      </c>
      <c r="I37" s="26">
        <f t="shared" si="5"/>
        <v>12.448979591836734</v>
      </c>
      <c r="J37" s="26">
        <f t="shared" si="6"/>
        <v>9.182679807347505</v>
      </c>
      <c r="K37" s="26">
        <f t="shared" si="7"/>
        <v>12.082473430720402</v>
      </c>
      <c r="L37" s="26"/>
      <c r="M37" s="26">
        <f t="shared" si="8"/>
        <v>40.90678862397617</v>
      </c>
      <c r="N37" s="26">
        <f t="shared" si="9"/>
        <v>46.77179962894249</v>
      </c>
      <c r="O37" s="26">
        <f t="shared" si="10"/>
        <v>58.35231704667703</v>
      </c>
      <c r="P37" s="26">
        <f t="shared" si="11"/>
        <v>76.77936453510135</v>
      </c>
      <c r="Q37" s="26">
        <f t="shared" si="12"/>
        <v>72.35621521335813</v>
      </c>
    </row>
    <row r="38" spans="1:17" ht="11.25">
      <c r="A38" s="26">
        <f t="shared" si="13"/>
        <v>39</v>
      </c>
      <c r="B38" s="26"/>
      <c r="C38" s="25">
        <f t="shared" si="0"/>
        <v>315.0005178858345</v>
      </c>
      <c r="D38" s="26">
        <f t="shared" si="1"/>
        <v>399.9999999999996</v>
      </c>
      <c r="E38" s="26">
        <f t="shared" si="2"/>
        <v>567.6264558531965</v>
      </c>
      <c r="F38" s="26">
        <f t="shared" si="3"/>
        <v>727.726225452816</v>
      </c>
      <c r="G38" s="26"/>
      <c r="H38" s="26">
        <f t="shared" si="4"/>
        <v>13.979581267636032</v>
      </c>
      <c r="I38" s="26">
        <f t="shared" si="5"/>
        <v>12.244897959183678</v>
      </c>
      <c r="J38" s="26">
        <f t="shared" si="6"/>
        <v>8.823949880547008</v>
      </c>
      <c r="K38" s="26">
        <f t="shared" si="7"/>
        <v>11.312756257111548</v>
      </c>
      <c r="L38" s="26"/>
      <c r="M38" s="26">
        <f t="shared" si="8"/>
        <v>41.34512096019953</v>
      </c>
      <c r="N38" s="26">
        <f t="shared" si="9"/>
        <v>47.495361781076035</v>
      </c>
      <c r="O38" s="26">
        <f t="shared" si="10"/>
        <v>59.62417769624242</v>
      </c>
      <c r="P38" s="26">
        <f t="shared" si="11"/>
        <v>76.44125345672104</v>
      </c>
      <c r="Q38" s="26">
        <f t="shared" si="12"/>
        <v>72.35621521335813</v>
      </c>
    </row>
    <row r="39" spans="1:17" ht="11.25">
      <c r="A39" s="26">
        <f t="shared" si="13"/>
        <v>40</v>
      </c>
      <c r="B39" s="26"/>
      <c r="C39" s="25">
        <f t="shared" si="0"/>
        <v>320.9829948399149</v>
      </c>
      <c r="D39" s="26">
        <f t="shared" si="1"/>
        <v>409.99999999999994</v>
      </c>
      <c r="E39" s="26">
        <f t="shared" si="2"/>
        <v>585.3171138235995</v>
      </c>
      <c r="F39" s="26">
        <f t="shared" si="3"/>
        <v>731.6463922794993</v>
      </c>
      <c r="G39" s="26"/>
      <c r="H39" s="26">
        <f t="shared" si="4"/>
        <v>13.857489901226225</v>
      </c>
      <c r="I39" s="26">
        <f t="shared" si="5"/>
        <v>12.040816326530614</v>
      </c>
      <c r="J39" s="26">
        <f t="shared" si="6"/>
        <v>8.462916044416335</v>
      </c>
      <c r="K39" s="26">
        <f t="shared" si="7"/>
        <v>10.57864505552042</v>
      </c>
      <c r="L39" s="26"/>
      <c r="M39" s="26">
        <f t="shared" si="8"/>
        <v>41.77799035019792</v>
      </c>
      <c r="N39" s="26">
        <f t="shared" si="9"/>
        <v>48.218923933209645</v>
      </c>
      <c r="O39" s="26">
        <f t="shared" si="10"/>
        <v>60.9042067516148</v>
      </c>
      <c r="P39" s="26">
        <f t="shared" si="11"/>
        <v>76.1302584395185</v>
      </c>
      <c r="Q39" s="26">
        <f t="shared" si="12"/>
        <v>72.35621521335813</v>
      </c>
    </row>
    <row r="40" spans="1:17" ht="11.25">
      <c r="A40" s="26">
        <f t="shared" si="13"/>
        <v>41</v>
      </c>
      <c r="B40" s="26"/>
      <c r="C40" s="25">
        <f t="shared" si="0"/>
        <v>326.89105848108954</v>
      </c>
      <c r="D40" s="26">
        <f t="shared" si="1"/>
        <v>419.99999999999994</v>
      </c>
      <c r="E40" s="26">
        <f t="shared" si="2"/>
        <v>603.1164072965788</v>
      </c>
      <c r="F40" s="26">
        <f t="shared" si="3"/>
        <v>735.5078137763157</v>
      </c>
      <c r="G40" s="26"/>
      <c r="H40" s="26">
        <f t="shared" si="4"/>
        <v>13.736917173855314</v>
      </c>
      <c r="I40" s="26">
        <f t="shared" si="5"/>
        <v>11.836734693877553</v>
      </c>
      <c r="J40" s="26">
        <f t="shared" si="6"/>
        <v>8.099665157212677</v>
      </c>
      <c r="K40" s="26">
        <f t="shared" si="7"/>
        <v>9.877640435625214</v>
      </c>
      <c r="L40" s="26"/>
      <c r="M40" s="26">
        <f t="shared" si="8"/>
        <v>42.205475474512966</v>
      </c>
      <c r="N40" s="26">
        <f t="shared" si="9"/>
        <v>48.942486085343226</v>
      </c>
      <c r="O40" s="26">
        <f t="shared" si="10"/>
        <v>62.192096260791416</v>
      </c>
      <c r="P40" s="26">
        <f t="shared" si="11"/>
        <v>75.84401983023344</v>
      </c>
      <c r="Q40" s="26">
        <f t="shared" si="12"/>
        <v>72.35621521335813</v>
      </c>
    </row>
    <row r="41" spans="1:17" ht="11.25">
      <c r="A41" s="26">
        <f t="shared" si="13"/>
        <v>42</v>
      </c>
      <c r="B41" s="26"/>
      <c r="C41" s="25">
        <f aca="true" t="shared" si="14" ref="C41:C59">$A41/$E$2*$E$1*prolin($A41,$E$4)</f>
        <v>332.72577928024225</v>
      </c>
      <c r="D41" s="26">
        <f aca="true" t="shared" si="15" ref="D41:D59">$A41/$E$2*$E$1*procour($A41,$E$4)</f>
        <v>429.99999999999994</v>
      </c>
      <c r="E41" s="26">
        <f aca="true" t="shared" si="16" ref="E41:E59">$A41/$E$2*$E$1*proremp($A41,$E$4,$E$3)</f>
        <v>621.0201663854245</v>
      </c>
      <c r="F41" s="26">
        <f aca="true" t="shared" si="17" ref="F41:F59">$E$1*proremp($A41,$E$4,$E$3)</f>
        <v>739.3097218874102</v>
      </c>
      <c r="G41" s="26"/>
      <c r="H41" s="26">
        <f aca="true" t="shared" si="18" ref="H41:H59">$A41/$E$2*$E$1*(1+$A41*$E$4*prolin($A41,$E$4))/(1+$E$4)/$A41</f>
        <v>13.617841239178729</v>
      </c>
      <c r="I41" s="26">
        <f aca="true" t="shared" si="19" ref="I41:I59">$A41/$E$2*$E$1*(1+$A41*$E$4*procour($A41,$E$4))/(1+$E$4)/$A41</f>
        <v>11.632653061224492</v>
      </c>
      <c r="J41" s="26">
        <f aca="true" t="shared" si="20" ref="J41:J59">$A41/$E$2*$E$1*(1+$A41*$E$4*proremp($A41,$E$4,$E$3))/(1+$E$4)/$A41</f>
        <v>7.734282318664805</v>
      </c>
      <c r="K41" s="26">
        <f aca="true" t="shared" si="21" ref="K41:K59">$E$1*(1+$A41*$E$4*proremp($A41,$E$4,$E$3))/(1+$E$4)/$A41</f>
        <v>9.207478950791435</v>
      </c>
      <c r="L41" s="26"/>
      <c r="M41" s="26">
        <f aca="true" t="shared" si="22" ref="M41:M59">($E$3*C41+H41)/(1+$E$3)</f>
        <v>42.627653788366324</v>
      </c>
      <c r="N41" s="26">
        <f aca="true" t="shared" si="23" ref="N41:N59">($E$3*D41+I41)/(1+$E$3)</f>
        <v>49.6660482374768</v>
      </c>
      <c r="O41" s="26">
        <f aca="true" t="shared" si="24" ref="O41:O59">($E$3*E41+J41)/(1+$E$3)</f>
        <v>63.48754450655205</v>
      </c>
      <c r="P41" s="26">
        <f aca="true" t="shared" si="25" ref="P41:P59">($E$3*F41+K41)/(1+$E$3)</f>
        <v>75.58041012684768</v>
      </c>
      <c r="Q41" s="26">
        <f aca="true" t="shared" si="26" ref="Q41:Q59">$E$1*$E$5/(1+$E$5)</f>
        <v>72.35621521335813</v>
      </c>
    </row>
    <row r="42" spans="1:17" ht="11.25">
      <c r="A42" s="26">
        <f aca="true" t="shared" si="27" ref="A42:A59">A41+1</f>
        <v>43</v>
      </c>
      <c r="B42" s="26"/>
      <c r="C42" s="25">
        <f t="shared" si="14"/>
        <v>338.488211050576</v>
      </c>
      <c r="D42" s="26">
        <f t="shared" si="15"/>
        <v>439.99999999999966</v>
      </c>
      <c r="E42" s="26">
        <f t="shared" si="16"/>
        <v>639.0243113494453</v>
      </c>
      <c r="F42" s="26">
        <f t="shared" si="17"/>
        <v>743.0515248249365</v>
      </c>
      <c r="G42" s="26"/>
      <c r="H42" s="26">
        <f t="shared" si="18"/>
        <v>13.500240590804571</v>
      </c>
      <c r="I42" s="26">
        <f t="shared" si="19"/>
        <v>11.428571428571436</v>
      </c>
      <c r="J42" s="26">
        <f t="shared" si="20"/>
        <v>7.366850788786832</v>
      </c>
      <c r="K42" s="26">
        <f t="shared" si="21"/>
        <v>8.56610556835678</v>
      </c>
      <c r="L42" s="26"/>
      <c r="M42" s="26">
        <f t="shared" si="22"/>
        <v>43.044601541692884</v>
      </c>
      <c r="N42" s="26">
        <f t="shared" si="23"/>
        <v>50.38961038961037</v>
      </c>
      <c r="O42" s="26">
        <f t="shared" si="24"/>
        <v>64.79025629430123</v>
      </c>
      <c r="P42" s="26">
        <f t="shared" si="25"/>
        <v>75.33750731895493</v>
      </c>
      <c r="Q42" s="26">
        <f t="shared" si="26"/>
        <v>72.35621521335813</v>
      </c>
    </row>
    <row r="43" spans="1:17" ht="11.25">
      <c r="A43" s="26">
        <f t="shared" si="27"/>
        <v>44</v>
      </c>
      <c r="B43" s="26"/>
      <c r="C43" s="25">
        <f t="shared" si="14"/>
        <v>344.17939121980163</v>
      </c>
      <c r="D43" s="26">
        <f t="shared" si="15"/>
        <v>450</v>
      </c>
      <c r="E43" s="26">
        <f t="shared" si="16"/>
        <v>657.1248560458363</v>
      </c>
      <c r="F43" s="26">
        <f t="shared" si="17"/>
        <v>746.7327909611777</v>
      </c>
      <c r="G43" s="26"/>
      <c r="H43" s="26">
        <f t="shared" si="18"/>
        <v>13.384094056738741</v>
      </c>
      <c r="I43" s="26">
        <f t="shared" si="19"/>
        <v>11.22448979591837</v>
      </c>
      <c r="J43" s="26">
        <f t="shared" si="20"/>
        <v>6.997451917431913</v>
      </c>
      <c r="K43" s="26">
        <f t="shared" si="21"/>
        <v>7.951649906172628</v>
      </c>
      <c r="L43" s="26"/>
      <c r="M43" s="26">
        <f t="shared" si="22"/>
        <v>43.456393798835364</v>
      </c>
      <c r="N43" s="26">
        <f t="shared" si="23"/>
        <v>51.11317254174397</v>
      </c>
      <c r="O43" s="26">
        <f t="shared" si="24"/>
        <v>66.09994320183232</v>
      </c>
      <c r="P43" s="26">
        <f t="shared" si="25"/>
        <v>75.113571820264</v>
      </c>
      <c r="Q43" s="26">
        <f t="shared" si="26"/>
        <v>72.35621521335813</v>
      </c>
    </row>
    <row r="44" spans="1:17" ht="11.25">
      <c r="A44" s="26">
        <f t="shared" si="27"/>
        <v>45</v>
      </c>
      <c r="B44" s="26"/>
      <c r="C44" s="25">
        <f t="shared" si="14"/>
        <v>349.80034109773</v>
      </c>
      <c r="D44" s="26">
        <f t="shared" si="15"/>
        <v>459.99999999999966</v>
      </c>
      <c r="E44" s="26">
        <f t="shared" si="16"/>
        <v>675.3179108746623</v>
      </c>
      <c r="F44" s="26">
        <f t="shared" si="17"/>
        <v>750.3532343051803</v>
      </c>
      <c r="G44" s="26"/>
      <c r="H44" s="26">
        <f t="shared" si="18"/>
        <v>13.269380793923878</v>
      </c>
      <c r="I44" s="26">
        <f t="shared" si="19"/>
        <v>11.020408163265312</v>
      </c>
      <c r="J44" s="26">
        <f t="shared" si="20"/>
        <v>6.626165084190566</v>
      </c>
      <c r="K44" s="26">
        <f t="shared" si="21"/>
        <v>7.362405649100628</v>
      </c>
      <c r="L44" s="26"/>
      <c r="M44" s="26">
        <f t="shared" si="22"/>
        <v>43.86310445790625</v>
      </c>
      <c r="N44" s="26">
        <f t="shared" si="23"/>
        <v>51.83673469387753</v>
      </c>
      <c r="O44" s="26">
        <f t="shared" si="24"/>
        <v>67.41632379241526</v>
      </c>
      <c r="P44" s="26">
        <f t="shared" si="25"/>
        <v>74.90702643601695</v>
      </c>
      <c r="Q44" s="26">
        <f t="shared" si="26"/>
        <v>72.35621521335813</v>
      </c>
    </row>
    <row r="45" spans="1:17" ht="11.25">
      <c r="A45" s="26">
        <f t="shared" si="27"/>
        <v>46</v>
      </c>
      <c r="B45" s="26"/>
      <c r="C45" s="25">
        <f t="shared" si="14"/>
        <v>355.3520661393454</v>
      </c>
      <c r="D45" s="26">
        <f t="shared" si="15"/>
        <v>470.00000000000006</v>
      </c>
      <c r="E45" s="26">
        <f t="shared" si="16"/>
        <v>693.5996852379778</v>
      </c>
      <c r="F45" s="26">
        <f t="shared" si="17"/>
        <v>753.9127013456281</v>
      </c>
      <c r="G45" s="26"/>
      <c r="H45" s="26">
        <f t="shared" si="18"/>
        <v>13.1560802828705</v>
      </c>
      <c r="I45" s="26">
        <f t="shared" si="19"/>
        <v>10.816326530612244</v>
      </c>
      <c r="J45" s="26">
        <f t="shared" si="20"/>
        <v>6.253067648204532</v>
      </c>
      <c r="K45" s="26">
        <f t="shared" si="21"/>
        <v>6.7968126610918835</v>
      </c>
      <c r="L45" s="26"/>
      <c r="M45" s="26">
        <f t="shared" si="22"/>
        <v>44.264806269822756</v>
      </c>
      <c r="N45" s="26">
        <f t="shared" si="23"/>
        <v>52.560296846011134</v>
      </c>
      <c r="O45" s="26">
        <f t="shared" si="24"/>
        <v>68.73912379272939</v>
      </c>
      <c r="P45" s="26">
        <f t="shared" si="25"/>
        <v>74.71643890514062</v>
      </c>
      <c r="Q45" s="26">
        <f t="shared" si="26"/>
        <v>72.35621521335813</v>
      </c>
    </row>
    <row r="46" spans="1:17" ht="11.25">
      <c r="A46" s="26">
        <f t="shared" si="27"/>
        <v>47</v>
      </c>
      <c r="B46" s="26"/>
      <c r="C46" s="25">
        <f t="shared" si="14"/>
        <v>360.8355562034404</v>
      </c>
      <c r="D46" s="26">
        <f t="shared" si="15"/>
        <v>479.99999999999994</v>
      </c>
      <c r="E46" s="26">
        <f t="shared" si="16"/>
        <v>711.9664895354565</v>
      </c>
      <c r="F46" s="26">
        <f t="shared" si="17"/>
        <v>757.4111590802729</v>
      </c>
      <c r="G46" s="26"/>
      <c r="H46" s="26">
        <f t="shared" si="18"/>
        <v>13.044172322378765</v>
      </c>
      <c r="I46" s="26">
        <f t="shared" si="19"/>
        <v>10.612244897959183</v>
      </c>
      <c r="J46" s="26">
        <f t="shared" si="20"/>
        <v>5.878234907439662</v>
      </c>
      <c r="K46" s="26">
        <f t="shared" si="21"/>
        <v>6.253441390893256</v>
      </c>
      <c r="L46" s="26"/>
      <c r="M46" s="26">
        <f t="shared" si="22"/>
        <v>44.66157085702072</v>
      </c>
      <c r="N46" s="26">
        <f t="shared" si="23"/>
        <v>53.28385899814471</v>
      </c>
      <c r="O46" s="26">
        <f t="shared" si="24"/>
        <v>70.06807623725936</v>
      </c>
      <c r="P46" s="26">
        <f t="shared" si="25"/>
        <v>74.54050663538231</v>
      </c>
      <c r="Q46" s="26">
        <f t="shared" si="26"/>
        <v>72.35621521335813</v>
      </c>
    </row>
    <row r="47" spans="1:17" ht="11.25">
      <c r="A47" s="26">
        <f t="shared" si="27"/>
        <v>48</v>
      </c>
      <c r="B47" s="26"/>
      <c r="C47" s="25">
        <f t="shared" si="14"/>
        <v>366.25178580688464</v>
      </c>
      <c r="D47" s="26">
        <f t="shared" si="15"/>
        <v>489.99999999999994</v>
      </c>
      <c r="E47" s="26">
        <f t="shared" si="16"/>
        <v>730.4147367199598</v>
      </c>
      <c r="F47" s="26">
        <f t="shared" si="17"/>
        <v>760.8486840832915</v>
      </c>
      <c r="G47" s="26"/>
      <c r="H47" s="26">
        <f t="shared" si="18"/>
        <v>12.933637024349295</v>
      </c>
      <c r="I47" s="26">
        <f t="shared" si="19"/>
        <v>10.408163265306124</v>
      </c>
      <c r="J47" s="26">
        <f t="shared" si="20"/>
        <v>5.501740066939597</v>
      </c>
      <c r="K47" s="26">
        <f t="shared" si="21"/>
        <v>5.730979236395414</v>
      </c>
      <c r="L47" s="26"/>
      <c r="M47" s="26">
        <f t="shared" si="22"/>
        <v>45.053468731852504</v>
      </c>
      <c r="N47" s="26">
        <f t="shared" si="23"/>
        <v>54.00742115027829</v>
      </c>
      <c r="O47" s="26">
        <f t="shared" si="24"/>
        <v>71.40292158085052</v>
      </c>
      <c r="P47" s="26">
        <f t="shared" si="25"/>
        <v>74.37804331338596</v>
      </c>
      <c r="Q47" s="26">
        <f t="shared" si="26"/>
        <v>72.35621521335813</v>
      </c>
    </row>
    <row r="48" spans="1:17" ht="11.25">
      <c r="A48" s="26">
        <f t="shared" si="27"/>
        <v>49</v>
      </c>
      <c r="B48" s="26"/>
      <c r="C48" s="25">
        <f t="shared" si="14"/>
        <v>371.6017143746092</v>
      </c>
      <c r="D48" s="26">
        <f t="shared" si="15"/>
        <v>500.0000000000001</v>
      </c>
      <c r="E48" s="26">
        <f t="shared" si="16"/>
        <v>748.9409434372575</v>
      </c>
      <c r="F48" s="26">
        <f t="shared" si="17"/>
        <v>764.2254524869975</v>
      </c>
      <c r="G48" s="26"/>
      <c r="H48" s="26">
        <f t="shared" si="18"/>
        <v>12.824454808681448</v>
      </c>
      <c r="I48" s="26">
        <f t="shared" si="19"/>
        <v>10.20408163265306</v>
      </c>
      <c r="J48" s="26">
        <f t="shared" si="20"/>
        <v>5.123654215566174</v>
      </c>
      <c r="K48" s="26">
        <f t="shared" si="21"/>
        <v>5.228218587312423</v>
      </c>
      <c r="L48" s="26"/>
      <c r="M48" s="26">
        <f t="shared" si="22"/>
        <v>45.440569314674875</v>
      </c>
      <c r="N48" s="26">
        <f t="shared" si="23"/>
        <v>54.73098330241188</v>
      </c>
      <c r="O48" s="26">
        <f t="shared" si="24"/>
        <v>72.74340778117448</v>
      </c>
      <c r="P48" s="26">
        <f t="shared" si="25"/>
        <v>74.22796712364743</v>
      </c>
      <c r="Q48" s="26">
        <f t="shared" si="26"/>
        <v>72.35621521335813</v>
      </c>
    </row>
    <row r="49" spans="1:17" ht="11.25">
      <c r="A49" s="26">
        <f t="shared" si="27"/>
        <v>50</v>
      </c>
      <c r="B49" s="26"/>
      <c r="C49" s="25">
        <f t="shared" si="14"/>
        <v>376.8862864853746</v>
      </c>
      <c r="D49" s="26">
        <f t="shared" si="15"/>
        <v>510</v>
      </c>
      <c r="E49" s="26">
        <f t="shared" si="16"/>
        <v>767.5417307746588</v>
      </c>
      <c r="F49" s="26">
        <f t="shared" si="17"/>
        <v>767.5417307746588</v>
      </c>
      <c r="G49" s="26"/>
      <c r="H49" s="26">
        <f t="shared" si="18"/>
        <v>12.71660639825766</v>
      </c>
      <c r="I49" s="26">
        <f t="shared" si="19"/>
        <v>10</v>
      </c>
      <c r="J49" s="26">
        <f t="shared" si="20"/>
        <v>4.744046310721249</v>
      </c>
      <c r="K49" s="26">
        <f t="shared" si="21"/>
        <v>4.744046310721249</v>
      </c>
      <c r="L49" s="26"/>
      <c r="M49" s="26">
        <f t="shared" si="22"/>
        <v>45.82294095163193</v>
      </c>
      <c r="N49" s="26">
        <f t="shared" si="23"/>
        <v>55.45454545454545</v>
      </c>
      <c r="O49" s="26">
        <f t="shared" si="24"/>
        <v>74.0892903528974</v>
      </c>
      <c r="P49" s="26">
        <f t="shared" si="25"/>
        <v>74.0892903528974</v>
      </c>
      <c r="Q49" s="26">
        <f t="shared" si="26"/>
        <v>72.35621521335813</v>
      </c>
    </row>
    <row r="50" spans="1:17" ht="11.25">
      <c r="A50" s="26">
        <f t="shared" si="27"/>
        <v>51</v>
      </c>
      <c r="B50" s="26"/>
      <c r="C50" s="25">
        <f t="shared" si="14"/>
        <v>382.1064321133991</v>
      </c>
      <c r="D50" s="26">
        <f t="shared" si="15"/>
        <v>519.9999999999998</v>
      </c>
      <c r="E50" s="26">
        <f t="shared" si="16"/>
        <v>786.2138246435982</v>
      </c>
      <c r="F50" s="26">
        <f t="shared" si="17"/>
        <v>770.7978672976452</v>
      </c>
      <c r="G50" s="26"/>
      <c r="H50" s="26">
        <f t="shared" si="18"/>
        <v>12.610072814012264</v>
      </c>
      <c r="I50" s="26">
        <f t="shared" si="19"/>
        <v>9.795918367346943</v>
      </c>
      <c r="J50" s="26">
        <f t="shared" si="20"/>
        <v>4.362983170538814</v>
      </c>
      <c r="K50" s="26">
        <f t="shared" si="21"/>
        <v>4.277434480920406</v>
      </c>
      <c r="L50" s="26"/>
      <c r="M50" s="26">
        <f t="shared" si="22"/>
        <v>46.20065093213833</v>
      </c>
      <c r="N50" s="26">
        <f t="shared" si="23"/>
        <v>56.17810760667901</v>
      </c>
      <c r="O50" s="26">
        <f t="shared" si="24"/>
        <v>75.44033239536239</v>
      </c>
      <c r="P50" s="26">
        <f t="shared" si="25"/>
        <v>73.96111019153174</v>
      </c>
      <c r="Q50" s="26">
        <f t="shared" si="26"/>
        <v>72.35621521335813</v>
      </c>
    </row>
    <row r="51" spans="1:17" ht="11.25">
      <c r="A51" s="26">
        <f t="shared" si="27"/>
        <v>52</v>
      </c>
      <c r="B51" s="26"/>
      <c r="C51" s="25">
        <f t="shared" si="14"/>
        <v>387.2630668659171</v>
      </c>
      <c r="D51" s="26">
        <f t="shared" si="15"/>
        <v>530.0000000000001</v>
      </c>
      <c r="E51" s="26">
        <f t="shared" si="16"/>
        <v>804.954055821313</v>
      </c>
      <c r="F51" s="26">
        <f t="shared" si="17"/>
        <v>773.9942844435702</v>
      </c>
      <c r="G51" s="26"/>
      <c r="H51" s="26">
        <f t="shared" si="18"/>
        <v>12.504835370083324</v>
      </c>
      <c r="I51" s="26">
        <f t="shared" si="19"/>
        <v>9.591836734693874</v>
      </c>
      <c r="J51" s="26">
        <f t="shared" si="20"/>
        <v>3.9805294730344274</v>
      </c>
      <c r="K51" s="26">
        <f t="shared" si="21"/>
        <v>3.8274321856100264</v>
      </c>
      <c r="L51" s="26"/>
      <c r="M51" s="26">
        <f t="shared" si="22"/>
        <v>46.57376550606821</v>
      </c>
      <c r="N51" s="26">
        <f t="shared" si="23"/>
        <v>56.901669758812616</v>
      </c>
      <c r="O51" s="26">
        <f t="shared" si="24"/>
        <v>76.79630459560519</v>
      </c>
      <c r="P51" s="26">
        <f t="shared" si="25"/>
        <v>73.84260057269731</v>
      </c>
      <c r="Q51" s="26">
        <f t="shared" si="26"/>
        <v>72.35621521335813</v>
      </c>
    </row>
    <row r="52" spans="1:17" ht="11.25">
      <c r="A52" s="26">
        <f t="shared" si="27"/>
        <v>53</v>
      </c>
      <c r="B52" s="26"/>
      <c r="C52" s="25">
        <f t="shared" si="14"/>
        <v>392.35709221673835</v>
      </c>
      <c r="D52" s="26">
        <f t="shared" si="15"/>
        <v>540</v>
      </c>
      <c r="E52" s="26">
        <f t="shared" si="16"/>
        <v>823.759359676658</v>
      </c>
      <c r="F52" s="26">
        <f t="shared" si="17"/>
        <v>777.1314713930736</v>
      </c>
      <c r="G52" s="26"/>
      <c r="H52" s="26">
        <f t="shared" si="18"/>
        <v>12.400875669046158</v>
      </c>
      <c r="I52" s="26">
        <f t="shared" si="19"/>
        <v>9.387755102040817</v>
      </c>
      <c r="J52" s="26">
        <f t="shared" si="20"/>
        <v>3.5967477617008563</v>
      </c>
      <c r="K52" s="26">
        <f t="shared" si="21"/>
        <v>3.3931582657555253</v>
      </c>
      <c r="L52" s="26"/>
      <c r="M52" s="26">
        <f t="shared" si="22"/>
        <v>46.942349900654534</v>
      </c>
      <c r="N52" s="26">
        <f t="shared" si="23"/>
        <v>57.62523191094619</v>
      </c>
      <c r="O52" s="26">
        <f t="shared" si="24"/>
        <v>78.15698520851514</v>
      </c>
      <c r="P52" s="26">
        <f t="shared" si="25"/>
        <v>73.73300491369353</v>
      </c>
      <c r="Q52" s="26">
        <f t="shared" si="26"/>
        <v>72.35621521335813</v>
      </c>
    </row>
    <row r="53" spans="1:17" ht="11.25">
      <c r="A53" s="26">
        <f t="shared" si="27"/>
        <v>54</v>
      </c>
      <c r="B53" s="26"/>
      <c r="C53" s="25">
        <f t="shared" si="14"/>
        <v>397.38939573587766</v>
      </c>
      <c r="D53" s="26">
        <f t="shared" si="15"/>
        <v>550</v>
      </c>
      <c r="E53" s="26">
        <f t="shared" si="16"/>
        <v>842.6267756047854</v>
      </c>
      <c r="F53" s="26">
        <f t="shared" si="17"/>
        <v>780.2099774118383</v>
      </c>
      <c r="G53" s="26"/>
      <c r="H53" s="26">
        <f t="shared" si="18"/>
        <v>12.298175597226988</v>
      </c>
      <c r="I53" s="26">
        <f t="shared" si="19"/>
        <v>9.183673469387754</v>
      </c>
      <c r="J53" s="26">
        <f t="shared" si="20"/>
        <v>3.211698457045196</v>
      </c>
      <c r="K53" s="26">
        <f t="shared" si="21"/>
        <v>2.973794867634441</v>
      </c>
      <c r="L53" s="26"/>
      <c r="M53" s="26">
        <f t="shared" si="22"/>
        <v>47.30646833710432</v>
      </c>
      <c r="N53" s="26">
        <f t="shared" si="23"/>
        <v>58.34879406307977</v>
      </c>
      <c r="O53" s="26">
        <f t="shared" si="24"/>
        <v>79.52216001593068</v>
      </c>
      <c r="P53" s="26">
        <f t="shared" si="25"/>
        <v>73.63162964438024</v>
      </c>
      <c r="Q53" s="26">
        <f t="shared" si="26"/>
        <v>72.35621521335813</v>
      </c>
    </row>
    <row r="54" spans="1:17" ht="11.25">
      <c r="A54" s="26">
        <f t="shared" si="27"/>
        <v>55</v>
      </c>
      <c r="B54" s="26"/>
      <c r="C54" s="25">
        <f t="shared" si="14"/>
        <v>402.360851315321</v>
      </c>
      <c r="D54" s="26">
        <f t="shared" si="15"/>
        <v>560.0000000000001</v>
      </c>
      <c r="E54" s="26">
        <f t="shared" si="16"/>
        <v>861.5534461950315</v>
      </c>
      <c r="F54" s="26">
        <f t="shared" si="17"/>
        <v>783.2304056318468</v>
      </c>
      <c r="G54" s="26"/>
      <c r="H54" s="26">
        <f t="shared" si="18"/>
        <v>12.196717320095491</v>
      </c>
      <c r="I54" s="26">
        <f t="shared" si="19"/>
        <v>8.979591836734691</v>
      </c>
      <c r="J54" s="26">
        <f t="shared" si="20"/>
        <v>2.825439873570786</v>
      </c>
      <c r="K54" s="26">
        <f t="shared" si="21"/>
        <v>2.5685817032461693</v>
      </c>
      <c r="L54" s="26"/>
      <c r="M54" s="26">
        <f t="shared" si="22"/>
        <v>47.66618404693417</v>
      </c>
      <c r="N54" s="26">
        <f t="shared" si="23"/>
        <v>59.07235621521336</v>
      </c>
      <c r="O54" s="26">
        <f t="shared" si="24"/>
        <v>80.89162226643084</v>
      </c>
      <c r="P54" s="26">
        <f t="shared" si="25"/>
        <v>73.53783842402805</v>
      </c>
      <c r="Q54" s="26">
        <f t="shared" si="26"/>
        <v>72.35621521335813</v>
      </c>
    </row>
    <row r="55" spans="1:17" ht="11.25">
      <c r="A55" s="26">
        <f t="shared" si="27"/>
        <v>56</v>
      </c>
      <c r="B55" s="26"/>
      <c r="C55" s="25">
        <f t="shared" si="14"/>
        <v>407.2723193909962</v>
      </c>
      <c r="D55" s="26">
        <f t="shared" si="15"/>
        <v>570</v>
      </c>
      <c r="E55" s="26">
        <f t="shared" si="16"/>
        <v>880.5366161557505</v>
      </c>
      <c r="F55" s="26">
        <f t="shared" si="17"/>
        <v>786.1934072819201</v>
      </c>
      <c r="G55" s="26"/>
      <c r="H55" s="26">
        <f t="shared" si="18"/>
        <v>12.096483277734773</v>
      </c>
      <c r="I55" s="26">
        <f t="shared" si="19"/>
        <v>8.77551020408163</v>
      </c>
      <c r="J55" s="26">
        <f t="shared" si="20"/>
        <v>2.4380282417193753</v>
      </c>
      <c r="K55" s="26">
        <f t="shared" si="21"/>
        <v>2.1768109301065848</v>
      </c>
      <c r="L55" s="26"/>
      <c r="M55" s="26">
        <f t="shared" si="22"/>
        <v>48.02155928803127</v>
      </c>
      <c r="N55" s="26">
        <f t="shared" si="23"/>
        <v>59.79591836734693</v>
      </c>
      <c r="O55" s="26">
        <f t="shared" si="24"/>
        <v>82.26517259754038</v>
      </c>
      <c r="P55" s="26">
        <f t="shared" si="25"/>
        <v>73.45104696208963</v>
      </c>
      <c r="Q55" s="26">
        <f t="shared" si="26"/>
        <v>72.35621521335813</v>
      </c>
    </row>
    <row r="56" spans="1:17" ht="11.25">
      <c r="A56" s="26">
        <f t="shared" si="27"/>
        <v>57</v>
      </c>
      <c r="B56" s="26"/>
      <c r="C56" s="25">
        <f t="shared" si="14"/>
        <v>412.1246471610152</v>
      </c>
      <c r="D56" s="26">
        <f t="shared" si="15"/>
        <v>580</v>
      </c>
      <c r="E56" s="26">
        <f t="shared" si="16"/>
        <v>899.573631019164</v>
      </c>
      <c r="F56" s="26">
        <f t="shared" si="17"/>
        <v>789.0996763326</v>
      </c>
      <c r="G56" s="26"/>
      <c r="H56" s="26">
        <f t="shared" si="18"/>
        <v>11.997456180387445</v>
      </c>
      <c r="I56" s="26">
        <f t="shared" si="19"/>
        <v>8.57142857142857</v>
      </c>
      <c r="J56" s="26">
        <f t="shared" si="20"/>
        <v>2.0495177343027735</v>
      </c>
      <c r="K56" s="26">
        <f t="shared" si="21"/>
        <v>1.7978225739498015</v>
      </c>
      <c r="L56" s="26"/>
      <c r="M56" s="26">
        <f t="shared" si="22"/>
        <v>48.37265536044451</v>
      </c>
      <c r="N56" s="26">
        <f t="shared" si="23"/>
        <v>60.51948051948051</v>
      </c>
      <c r="O56" s="26">
        <f t="shared" si="24"/>
        <v>83.64261894201744</v>
      </c>
      <c r="P56" s="26">
        <f t="shared" si="25"/>
        <v>73.37071837019073</v>
      </c>
      <c r="Q56" s="26">
        <f t="shared" si="26"/>
        <v>72.35621521335813</v>
      </c>
    </row>
    <row r="57" spans="1:17" ht="11.25">
      <c r="A57" s="26">
        <f t="shared" si="27"/>
        <v>58</v>
      </c>
      <c r="B57" s="26"/>
      <c r="C57" s="25">
        <f t="shared" si="14"/>
        <v>416.9186688002468</v>
      </c>
      <c r="D57" s="26">
        <f t="shared" si="15"/>
        <v>590</v>
      </c>
      <c r="E57" s="26">
        <f t="shared" si="16"/>
        <v>918.6619356485223</v>
      </c>
      <c r="F57" s="26">
        <f t="shared" si="17"/>
        <v>791.9499445245882</v>
      </c>
      <c r="G57" s="26"/>
      <c r="H57" s="26">
        <f t="shared" si="18"/>
        <v>11.899619004076598</v>
      </c>
      <c r="I57" s="26">
        <f t="shared" si="19"/>
        <v>8.36734693877551</v>
      </c>
      <c r="J57" s="26">
        <f t="shared" si="20"/>
        <v>1.6599604969689332</v>
      </c>
      <c r="K57" s="26">
        <f t="shared" si="21"/>
        <v>1.431000428421494</v>
      </c>
      <c r="L57" s="26"/>
      <c r="M57" s="26">
        <f t="shared" si="22"/>
        <v>48.719532621910254</v>
      </c>
      <c r="N57" s="26">
        <f t="shared" si="23"/>
        <v>61.2430426716141</v>
      </c>
      <c r="O57" s="26">
        <f t="shared" si="24"/>
        <v>85.02377641983742</v>
      </c>
      <c r="P57" s="26">
        <f t="shared" si="25"/>
        <v>73.29635898261847</v>
      </c>
      <c r="Q57" s="26">
        <f t="shared" si="26"/>
        <v>72.35621521335813</v>
      </c>
    </row>
    <row r="58" spans="1:17" ht="11.25">
      <c r="A58" s="26">
        <f t="shared" si="27"/>
        <v>59</v>
      </c>
      <c r="B58" s="26"/>
      <c r="C58" s="25">
        <f t="shared" si="14"/>
        <v>421.65520567128823</v>
      </c>
      <c r="D58" s="26">
        <f t="shared" si="15"/>
        <v>600.0000000000001</v>
      </c>
      <c r="E58" s="26">
        <f t="shared" si="16"/>
        <v>937.7990725690139</v>
      </c>
      <c r="F58" s="26">
        <f t="shared" si="17"/>
        <v>794.7449767534016</v>
      </c>
      <c r="G58" s="26"/>
      <c r="H58" s="26">
        <f t="shared" si="18"/>
        <v>11.802954986300241</v>
      </c>
      <c r="I58" s="26">
        <f t="shared" si="19"/>
        <v>8.163265306122447</v>
      </c>
      <c r="J58" s="26">
        <f t="shared" si="20"/>
        <v>1.2694066822650234</v>
      </c>
      <c r="K58" s="26">
        <f t="shared" si="21"/>
        <v>1.0757683748008675</v>
      </c>
      <c r="L58" s="26"/>
      <c r="M58" s="26">
        <f t="shared" si="22"/>
        <v>49.062250503117326</v>
      </c>
      <c r="N58" s="26">
        <f t="shared" si="23"/>
        <v>61.966604823747694</v>
      </c>
      <c r="O58" s="26">
        <f t="shared" si="24"/>
        <v>86.40846721742402</v>
      </c>
      <c r="P58" s="26">
        <f t="shared" si="25"/>
        <v>73.22751459103729</v>
      </c>
      <c r="Q58" s="26">
        <f t="shared" si="26"/>
        <v>72.35621521335813</v>
      </c>
    </row>
    <row r="59" spans="1:17" ht="11.25">
      <c r="A59" s="26">
        <f t="shared" si="27"/>
        <v>60</v>
      </c>
      <c r="B59" s="26"/>
      <c r="C59" s="25">
        <f t="shared" si="14"/>
        <v>426.3350665318984</v>
      </c>
      <c r="D59" s="26">
        <f t="shared" si="15"/>
        <v>610.0000000000001</v>
      </c>
      <c r="E59" s="26">
        <f t="shared" si="16"/>
        <v>956.9826801429092</v>
      </c>
      <c r="F59" s="26">
        <f t="shared" si="17"/>
        <v>797.4855667857577</v>
      </c>
      <c r="G59" s="26"/>
      <c r="H59" s="26">
        <f t="shared" si="18"/>
        <v>11.707447621797995</v>
      </c>
      <c r="I59" s="26">
        <f t="shared" si="19"/>
        <v>7.9591836734693855</v>
      </c>
      <c r="J59" s="26">
        <f t="shared" si="20"/>
        <v>0.877904486879406</v>
      </c>
      <c r="K59" s="26">
        <f t="shared" si="21"/>
        <v>0.731587072399505</v>
      </c>
      <c r="L59" s="26"/>
      <c r="M59" s="26">
        <f t="shared" si="22"/>
        <v>49.40086752271621</v>
      </c>
      <c r="N59" s="26">
        <f t="shared" si="23"/>
        <v>62.69016697588126</v>
      </c>
      <c r="O59" s="26">
        <f t="shared" si="24"/>
        <v>87.79652045560938</v>
      </c>
      <c r="P59" s="26">
        <f t="shared" si="25"/>
        <v>73.16376704634115</v>
      </c>
      <c r="Q59" s="26">
        <f t="shared" si="26"/>
        <v>72.35621521335813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2"/>
  <headerFooter alignWithMargins="0">
    <oddHeader>&amp;C&amp;"Arial,Gras italique"&amp;16Analyse des différentes méthodes&amp;R&amp;"Arial,Gras italique"&amp;16&amp;A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R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.00390625" style="2" customWidth="1"/>
    <col min="3" max="4" width="8.7109375" style="2" customWidth="1"/>
    <col min="5" max="5" width="9.421875" style="2" customWidth="1"/>
    <col min="6" max="6" width="9.140625" style="2" customWidth="1"/>
    <col min="7" max="7" width="3.28125" style="2" customWidth="1"/>
    <col min="8" max="9" width="8.7109375" style="2" customWidth="1"/>
    <col min="10" max="10" width="9.140625" style="2" customWidth="1"/>
    <col min="11" max="11" width="9.28125" style="2" customWidth="1"/>
    <col min="12" max="12" width="2.8515625" style="2" customWidth="1"/>
    <col min="13" max="14" width="8.7109375" style="2" customWidth="1"/>
    <col min="15" max="15" width="9.421875" style="2" customWidth="1"/>
    <col min="16" max="16" width="9.28125" style="2" customWidth="1"/>
    <col min="17" max="17" width="9.140625" style="2" customWidth="1"/>
    <col min="18" max="18" width="8.57421875" style="2" bestFit="1" customWidth="1"/>
    <col min="19" max="16384" width="11.421875" style="2" customWidth="1"/>
  </cols>
  <sheetData>
    <row r="1" spans="1:5" ht="11.25">
      <c r="A1" s="2" t="s">
        <v>37</v>
      </c>
      <c r="E1" s="2">
        <v>1000</v>
      </c>
    </row>
    <row r="2" spans="1:7" ht="11.25">
      <c r="A2" s="30" t="s">
        <v>13</v>
      </c>
      <c r="B2" s="30"/>
      <c r="C2" s="30"/>
      <c r="D2" s="30"/>
      <c r="E2" s="28">
        <v>25</v>
      </c>
      <c r="G2" s="2" t="str">
        <f>"First annual payment - Amortisation period :  "&amp;FIXED(E2,0)&amp;" years"</f>
        <v>First annual payment - Amortisation period :  25 years</v>
      </c>
    </row>
    <row r="3" spans="1:5" ht="11.25">
      <c r="A3" s="2" t="s">
        <v>16</v>
      </c>
      <c r="E3" s="21">
        <v>0.1</v>
      </c>
    </row>
    <row r="4" spans="1:5" ht="11.25">
      <c r="A4" s="2" t="s">
        <v>14</v>
      </c>
      <c r="E4" s="21">
        <v>-0.02</v>
      </c>
    </row>
    <row r="5" spans="1:5" ht="11.25">
      <c r="A5" s="2" t="s">
        <v>15</v>
      </c>
      <c r="E5" s="4">
        <f>(1+E3)*(1+E4)-1</f>
        <v>0.07800000000000007</v>
      </c>
    </row>
    <row r="7" spans="1:16" ht="11.25">
      <c r="A7" s="23" t="s">
        <v>8</v>
      </c>
      <c r="B7" s="23"/>
      <c r="C7" s="32" t="s">
        <v>38</v>
      </c>
      <c r="D7" s="32"/>
      <c r="E7" s="32"/>
      <c r="F7" s="32"/>
      <c r="H7" s="32" t="s">
        <v>2</v>
      </c>
      <c r="I7" s="32"/>
      <c r="J7" s="32"/>
      <c r="K7" s="32"/>
      <c r="M7" s="32" t="s">
        <v>25</v>
      </c>
      <c r="N7" s="32"/>
      <c r="O7" s="32"/>
      <c r="P7" s="32"/>
    </row>
    <row r="8" spans="1:18" ht="65.25" customHeight="1">
      <c r="A8" s="11" t="s">
        <v>13</v>
      </c>
      <c r="B8" s="11"/>
      <c r="C8" s="11" t="s">
        <v>39</v>
      </c>
      <c r="D8" s="11" t="s">
        <v>27</v>
      </c>
      <c r="E8" s="11" t="s">
        <v>36</v>
      </c>
      <c r="F8" s="11" t="s">
        <v>40</v>
      </c>
      <c r="H8" s="11" t="s">
        <v>39</v>
      </c>
      <c r="I8" s="11" t="s">
        <v>27</v>
      </c>
      <c r="J8" s="11" t="s">
        <v>36</v>
      </c>
      <c r="K8" s="11" t="s">
        <v>40</v>
      </c>
      <c r="M8" s="11" t="s">
        <v>39</v>
      </c>
      <c r="N8" s="11" t="s">
        <v>27</v>
      </c>
      <c r="O8" s="11" t="s">
        <v>36</v>
      </c>
      <c r="P8" s="11" t="s">
        <v>40</v>
      </c>
      <c r="Q8" s="11" t="s">
        <v>41</v>
      </c>
      <c r="R8" s="11" t="s">
        <v>42</v>
      </c>
    </row>
    <row r="9" spans="1:18" s="26" customFormat="1" ht="11.25">
      <c r="A9" s="30">
        <v>10</v>
      </c>
      <c r="B9" s="28"/>
      <c r="C9" s="29">
        <f aca="true" t="shared" si="0" ref="C9:C40">$E$2/$A9*$E$1*prolin($E$2,$E$4)</f>
        <v>1113.9543518331895</v>
      </c>
      <c r="D9" s="29">
        <f aca="true" t="shared" si="1" ref="D9:D40">$E$2/$A9*$E$1*procour($E$2,$E$4)</f>
        <v>1299.9999999999998</v>
      </c>
      <c r="E9" s="29">
        <f aca="true" t="shared" si="2" ref="E9:E40">$E$2/$A9*$E$1*proremp($E$2,$E$4,$E$3)</f>
        <v>1669.3456465511354</v>
      </c>
      <c r="F9" s="28">
        <f>$E$1*proremp($A9,$E$4,$E$3)</f>
        <v>611.3830575059013</v>
      </c>
      <c r="G9" s="28"/>
      <c r="H9" s="28">
        <f aca="true" t="shared" si="3" ref="H9:H40">$E$2/$A9*$E$1*(1+$E$2*$E$4*prolin($E$2,$E$4))/(1+$E$4)/$E$2</f>
        <v>79.30705404422062</v>
      </c>
      <c r="I9" s="28">
        <f aca="true" t="shared" si="4" ref="I9:I40">$E$2/$A9*$E$1*(1+$E$2*$E$4*procour($E$2,$E$4))/(1+$E$4)/$E$2</f>
        <v>75.51020408163265</v>
      </c>
      <c r="J9" s="28">
        <f aca="true" t="shared" si="5" ref="J9:J40">$E$2/$A9*$E$1*(1+$E$2*$E$4*proremp($E$2,$E$4,$E$3))/(1+$E$4)/$E$2</f>
        <v>67.97253782548704</v>
      </c>
      <c r="K9" s="28">
        <f>$E$1*(1+$A9*$E$4*proremp($A9,$E$4,$E$3))/(1+$E$4)/$E$2</f>
        <v>35.82544442852325</v>
      </c>
      <c r="L9" s="28"/>
      <c r="M9" s="28">
        <f aca="true" t="shared" si="6" ref="M9:M40">($E$3*C9+H9)/(1+$E$3)</f>
        <v>173.36589929776324</v>
      </c>
      <c r="N9" s="28">
        <f aca="true" t="shared" si="7" ref="N9:N40">($E$3*D9+I9)/(1+$E$3)</f>
        <v>186.82745825602964</v>
      </c>
      <c r="O9" s="28">
        <f aca="true" t="shared" si="8" ref="O9:O40">($E$3*E9+J9)/(1+$E$3)</f>
        <v>213.55191134600054</v>
      </c>
      <c r="P9" s="28">
        <f aca="true" t="shared" si="9" ref="P9:P40">($E$3*F9+K9)/(1+$E$3)</f>
        <v>88.14886379919399</v>
      </c>
      <c r="Q9" s="28">
        <f aca="true" t="shared" si="10" ref="Q9:Q40">$E$1*$E$5/(1+$E$5)</f>
        <v>72.35621521335813</v>
      </c>
      <c r="R9" s="28">
        <f>$E$1/$A9</f>
        <v>100</v>
      </c>
    </row>
    <row r="10" spans="1:18" ht="11.25">
      <c r="A10" s="26">
        <f>A9+1</f>
        <v>11</v>
      </c>
      <c r="B10" s="26"/>
      <c r="C10" s="25">
        <f t="shared" si="0"/>
        <v>1012.6857743938089</v>
      </c>
      <c r="D10" s="26">
        <f t="shared" si="1"/>
        <v>1181.8181818181818</v>
      </c>
      <c r="E10" s="26">
        <f t="shared" si="2"/>
        <v>1517.5869514101232</v>
      </c>
      <c r="F10" s="26">
        <f aca="true" t="shared" si="11" ref="F10:F59">$E$1*proremp($A10,$E$4,$E$3)</f>
        <v>612.9633946858766</v>
      </c>
      <c r="G10" s="26"/>
      <c r="H10" s="26">
        <f t="shared" si="3"/>
        <v>72.09732185838239</v>
      </c>
      <c r="I10" s="26">
        <f t="shared" si="4"/>
        <v>68.64564007421151</v>
      </c>
      <c r="J10" s="26">
        <f t="shared" si="5"/>
        <v>61.79321620498822</v>
      </c>
      <c r="K10" s="26">
        <f aca="true" t="shared" si="12" ref="K10:K59">$E$1*(1+$A10*$E$4*proremp($A10,$E$4,$E$3))/(1+$E$4)/$E$2</f>
        <v>35.31216543547376</v>
      </c>
      <c r="L10" s="26"/>
      <c r="M10" s="26">
        <f t="shared" si="6"/>
        <v>157.6053629979666</v>
      </c>
      <c r="N10" s="26">
        <f t="shared" si="7"/>
        <v>169.8431438691179</v>
      </c>
      <c r="O10" s="26">
        <f t="shared" si="8"/>
        <v>194.13810122363685</v>
      </c>
      <c r="P10" s="26">
        <f t="shared" si="9"/>
        <v>87.82591354914673</v>
      </c>
      <c r="Q10" s="26">
        <f t="shared" si="10"/>
        <v>72.35621521335813</v>
      </c>
      <c r="R10" s="26">
        <f aca="true" t="shared" si="13" ref="R10:R59">$E$1/$A10</f>
        <v>90.9090909090909</v>
      </c>
    </row>
    <row r="11" spans="1:18" ht="11.25">
      <c r="A11" s="26">
        <f aca="true" t="shared" si="14" ref="A11:A41">A10+1</f>
        <v>12</v>
      </c>
      <c r="B11" s="26"/>
      <c r="C11" s="25">
        <f t="shared" si="0"/>
        <v>928.2952931943247</v>
      </c>
      <c r="D11" s="26">
        <f t="shared" si="1"/>
        <v>1083.3333333333333</v>
      </c>
      <c r="E11" s="26">
        <f t="shared" si="2"/>
        <v>1391.1213721259462</v>
      </c>
      <c r="F11" s="26">
        <f t="shared" si="11"/>
        <v>615.2550253597863</v>
      </c>
      <c r="G11" s="26"/>
      <c r="H11" s="26">
        <f t="shared" si="3"/>
        <v>66.0892117035172</v>
      </c>
      <c r="I11" s="26">
        <f t="shared" si="4"/>
        <v>62.92517006802722</v>
      </c>
      <c r="J11" s="26">
        <f t="shared" si="5"/>
        <v>56.643781521239205</v>
      </c>
      <c r="K11" s="26">
        <f t="shared" si="12"/>
        <v>34.789338527087814</v>
      </c>
      <c r="L11" s="26"/>
      <c r="M11" s="26">
        <f t="shared" si="6"/>
        <v>144.47158274813606</v>
      </c>
      <c r="N11" s="26">
        <f t="shared" si="7"/>
        <v>155.68954854669138</v>
      </c>
      <c r="O11" s="26">
        <f t="shared" si="8"/>
        <v>177.9599261216671</v>
      </c>
      <c r="P11" s="26">
        <f t="shared" si="9"/>
        <v>87.55894642096948</v>
      </c>
      <c r="Q11" s="26">
        <f t="shared" si="10"/>
        <v>72.35621521335813</v>
      </c>
      <c r="R11" s="26">
        <f t="shared" si="13"/>
        <v>83.33333333333333</v>
      </c>
    </row>
    <row r="12" spans="1:18" ht="11.25">
      <c r="A12" s="26">
        <f t="shared" si="14"/>
        <v>13</v>
      </c>
      <c r="B12" s="26"/>
      <c r="C12" s="25">
        <f t="shared" si="0"/>
        <v>856.8879629486074</v>
      </c>
      <c r="D12" s="26">
        <f t="shared" si="1"/>
        <v>999.9999999999999</v>
      </c>
      <c r="E12" s="26">
        <f t="shared" si="2"/>
        <v>1284.1120358085657</v>
      </c>
      <c r="F12" s="26">
        <f t="shared" si="11"/>
        <v>618.0823706113288</v>
      </c>
      <c r="G12" s="26"/>
      <c r="H12" s="26">
        <f t="shared" si="3"/>
        <v>61.00542618786202</v>
      </c>
      <c r="I12" s="26">
        <f t="shared" si="4"/>
        <v>58.08477237048666</v>
      </c>
      <c r="J12" s="26">
        <f t="shared" si="5"/>
        <v>52.286567558066956</v>
      </c>
      <c r="K12" s="26">
        <f t="shared" si="12"/>
        <v>34.25708504657365</v>
      </c>
      <c r="L12" s="26"/>
      <c r="M12" s="26">
        <f t="shared" si="6"/>
        <v>133.3583840752025</v>
      </c>
      <c r="N12" s="26">
        <f t="shared" si="7"/>
        <v>143.71342942771514</v>
      </c>
      <c r="O12" s="26">
        <f t="shared" si="8"/>
        <v>164.27070103538503</v>
      </c>
      <c r="P12" s="26">
        <f t="shared" si="9"/>
        <v>87.33211100700592</v>
      </c>
      <c r="Q12" s="26">
        <f t="shared" si="10"/>
        <v>72.35621521335813</v>
      </c>
      <c r="R12" s="26">
        <f t="shared" si="13"/>
        <v>76.92307692307692</v>
      </c>
    </row>
    <row r="13" spans="1:18" ht="11.25">
      <c r="A13" s="26">
        <f t="shared" si="14"/>
        <v>14</v>
      </c>
      <c r="B13" s="26"/>
      <c r="C13" s="25">
        <f t="shared" si="0"/>
        <v>795.6816798808497</v>
      </c>
      <c r="D13" s="26">
        <f t="shared" si="1"/>
        <v>928.5714285714284</v>
      </c>
      <c r="E13" s="26">
        <f t="shared" si="2"/>
        <v>1192.3897475365252</v>
      </c>
      <c r="F13" s="26">
        <f t="shared" si="11"/>
        <v>621.3192750430507</v>
      </c>
      <c r="G13" s="26"/>
      <c r="H13" s="26">
        <f t="shared" si="3"/>
        <v>56.647895745871885</v>
      </c>
      <c r="I13" s="26">
        <f t="shared" si="4"/>
        <v>53.935860058309046</v>
      </c>
      <c r="J13" s="26">
        <f t="shared" si="5"/>
        <v>48.551812732490745</v>
      </c>
      <c r="K13" s="26">
        <f t="shared" si="12"/>
        <v>33.71553481583452</v>
      </c>
      <c r="L13" s="26"/>
      <c r="M13" s="26">
        <f t="shared" si="6"/>
        <v>123.83278521268805</v>
      </c>
      <c r="N13" s="26">
        <f t="shared" si="7"/>
        <v>133.44818446859261</v>
      </c>
      <c r="O13" s="26">
        <f t="shared" si="8"/>
        <v>152.53707953285752</v>
      </c>
      <c r="P13" s="26">
        <f t="shared" si="9"/>
        <v>87.13405665467235</v>
      </c>
      <c r="Q13" s="26">
        <f t="shared" si="10"/>
        <v>72.35621521335813</v>
      </c>
      <c r="R13" s="26">
        <f t="shared" si="13"/>
        <v>71.42857142857143</v>
      </c>
    </row>
    <row r="14" spans="1:18" ht="11.25">
      <c r="A14" s="28">
        <f t="shared" si="14"/>
        <v>15</v>
      </c>
      <c r="B14" s="28"/>
      <c r="C14" s="29">
        <f t="shared" si="0"/>
        <v>742.6362345554597</v>
      </c>
      <c r="D14" s="28">
        <f t="shared" si="1"/>
        <v>866.6666666666665</v>
      </c>
      <c r="E14" s="28">
        <f t="shared" si="2"/>
        <v>1112.8970977007568</v>
      </c>
      <c r="F14" s="28">
        <f t="shared" si="11"/>
        <v>624.8725707961024</v>
      </c>
      <c r="G14" s="28"/>
      <c r="H14" s="28">
        <f t="shared" si="3"/>
        <v>52.871369362813745</v>
      </c>
      <c r="I14" s="28">
        <f t="shared" si="4"/>
        <v>50.34013605442178</v>
      </c>
      <c r="J14" s="28">
        <f t="shared" si="5"/>
        <v>45.31502521699135</v>
      </c>
      <c r="K14" s="28">
        <f t="shared" si="12"/>
        <v>33.164825663721196</v>
      </c>
      <c r="L14" s="28"/>
      <c r="M14" s="28">
        <f t="shared" si="6"/>
        <v>115.57726619850884</v>
      </c>
      <c r="N14" s="28">
        <f t="shared" si="7"/>
        <v>124.55163883735311</v>
      </c>
      <c r="O14" s="28">
        <f t="shared" si="8"/>
        <v>142.36794089733368</v>
      </c>
      <c r="P14" s="28">
        <f t="shared" si="9"/>
        <v>86.95643885757404</v>
      </c>
      <c r="Q14" s="28">
        <f t="shared" si="10"/>
        <v>72.35621521335813</v>
      </c>
      <c r="R14" s="28">
        <f t="shared" si="13"/>
        <v>66.66666666666667</v>
      </c>
    </row>
    <row r="15" spans="1:18" ht="11.25">
      <c r="A15" s="26">
        <f t="shared" si="14"/>
        <v>16</v>
      </c>
      <c r="B15" s="26"/>
      <c r="C15" s="25">
        <f t="shared" si="0"/>
        <v>696.2214698957434</v>
      </c>
      <c r="D15" s="26">
        <f t="shared" si="1"/>
        <v>812.4999999999999</v>
      </c>
      <c r="E15" s="26">
        <f t="shared" si="2"/>
        <v>1043.3410290944596</v>
      </c>
      <c r="F15" s="26">
        <f t="shared" si="11"/>
        <v>628.6718066309807</v>
      </c>
      <c r="G15" s="26"/>
      <c r="H15" s="26">
        <f t="shared" si="3"/>
        <v>49.566908777637884</v>
      </c>
      <c r="I15" s="26">
        <f t="shared" si="4"/>
        <v>47.19387755102041</v>
      </c>
      <c r="J15" s="26">
        <f t="shared" si="5"/>
        <v>42.4828361409294</v>
      </c>
      <c r="K15" s="26">
        <f t="shared" si="12"/>
        <v>32.60510293379944</v>
      </c>
      <c r="L15" s="26"/>
      <c r="M15" s="26">
        <f t="shared" si="6"/>
        <v>108.35368706110202</v>
      </c>
      <c r="N15" s="26">
        <f t="shared" si="7"/>
        <v>116.76716141001856</v>
      </c>
      <c r="O15" s="26">
        <f t="shared" si="8"/>
        <v>133.4699445912503</v>
      </c>
      <c r="P15" s="26">
        <f t="shared" si="9"/>
        <v>86.79298508808864</v>
      </c>
      <c r="Q15" s="26">
        <f t="shared" si="10"/>
        <v>72.35621521335813</v>
      </c>
      <c r="R15" s="26">
        <f t="shared" si="13"/>
        <v>62.5</v>
      </c>
    </row>
    <row r="16" spans="1:18" ht="11.25">
      <c r="A16" s="26">
        <f t="shared" si="14"/>
        <v>17</v>
      </c>
      <c r="B16" s="26"/>
      <c r="C16" s="25">
        <f t="shared" si="0"/>
        <v>655.2672657842293</v>
      </c>
      <c r="D16" s="26">
        <f t="shared" si="1"/>
        <v>764.7058823529411</v>
      </c>
      <c r="E16" s="26">
        <f t="shared" si="2"/>
        <v>981.9680273830209</v>
      </c>
      <c r="F16" s="26">
        <f t="shared" si="11"/>
        <v>632.6626032761534</v>
      </c>
      <c r="G16" s="26"/>
      <c r="H16" s="26">
        <f t="shared" si="3"/>
        <v>46.65120826130626</v>
      </c>
      <c r="I16" s="26">
        <f t="shared" si="4"/>
        <v>44.41776710684274</v>
      </c>
      <c r="J16" s="26">
        <f t="shared" si="5"/>
        <v>39.98384577969826</v>
      </c>
      <c r="K16" s="26">
        <f t="shared" si="12"/>
        <v>32.03651897494318</v>
      </c>
      <c r="L16" s="26"/>
      <c r="M16" s="26">
        <f t="shared" si="6"/>
        <v>101.97994076339015</v>
      </c>
      <c r="N16" s="26">
        <f t="shared" si="7"/>
        <v>109.89850485648805</v>
      </c>
      <c r="O16" s="26">
        <f t="shared" si="8"/>
        <v>125.6187713800003</v>
      </c>
      <c r="P16" s="26">
        <f t="shared" si="9"/>
        <v>86.6388902750532</v>
      </c>
      <c r="Q16" s="26">
        <f t="shared" si="10"/>
        <v>72.35621521335813</v>
      </c>
      <c r="R16" s="26">
        <f t="shared" si="13"/>
        <v>58.8235294117647</v>
      </c>
    </row>
    <row r="17" spans="1:18" ht="11.25">
      <c r="A17" s="26">
        <f t="shared" si="14"/>
        <v>18</v>
      </c>
      <c r="B17" s="26"/>
      <c r="C17" s="25">
        <f t="shared" si="0"/>
        <v>618.8635287962164</v>
      </c>
      <c r="D17" s="26">
        <f t="shared" si="1"/>
        <v>722.2222222222221</v>
      </c>
      <c r="E17" s="26">
        <f t="shared" si="2"/>
        <v>927.414248083964</v>
      </c>
      <c r="F17" s="26">
        <f t="shared" si="11"/>
        <v>636.8022246021375</v>
      </c>
      <c r="G17" s="26"/>
      <c r="H17" s="26">
        <f t="shared" si="3"/>
        <v>44.059474469011455</v>
      </c>
      <c r="I17" s="26">
        <f t="shared" si="4"/>
        <v>41.95011337868481</v>
      </c>
      <c r="J17" s="26">
        <f t="shared" si="5"/>
        <v>37.76252101415947</v>
      </c>
      <c r="K17" s="26">
        <f t="shared" si="12"/>
        <v>31.459232618091047</v>
      </c>
      <c r="L17" s="26"/>
      <c r="M17" s="26">
        <f t="shared" si="6"/>
        <v>96.31438849875735</v>
      </c>
      <c r="N17" s="26">
        <f t="shared" si="7"/>
        <v>103.79303236446091</v>
      </c>
      <c r="O17" s="26">
        <f t="shared" si="8"/>
        <v>118.63995074777804</v>
      </c>
      <c r="P17" s="26">
        <f t="shared" si="9"/>
        <v>86.4904137075498</v>
      </c>
      <c r="Q17" s="26">
        <f t="shared" si="10"/>
        <v>72.35621521335813</v>
      </c>
      <c r="R17" s="26">
        <f t="shared" si="13"/>
        <v>55.55555555555556</v>
      </c>
    </row>
    <row r="18" spans="1:18" ht="11.25">
      <c r="A18" s="26">
        <f t="shared" si="14"/>
        <v>19</v>
      </c>
      <c r="B18" s="26"/>
      <c r="C18" s="25">
        <f t="shared" si="0"/>
        <v>586.2917641227314</v>
      </c>
      <c r="D18" s="26">
        <f t="shared" si="1"/>
        <v>684.2105263157894</v>
      </c>
      <c r="E18" s="26">
        <f t="shared" si="2"/>
        <v>878.6029718690187</v>
      </c>
      <c r="F18" s="26">
        <f t="shared" si="11"/>
        <v>641.0565480495253</v>
      </c>
      <c r="G18" s="26"/>
      <c r="H18" s="26">
        <f t="shared" si="3"/>
        <v>41.74055476011612</v>
      </c>
      <c r="I18" s="26">
        <f t="shared" si="4"/>
        <v>39.7422126745435</v>
      </c>
      <c r="J18" s="26">
        <f t="shared" si="5"/>
        <v>35.77501990815107</v>
      </c>
      <c r="K18" s="26">
        <f t="shared" si="12"/>
        <v>30.87340864249716</v>
      </c>
      <c r="L18" s="26"/>
      <c r="M18" s="26">
        <f t="shared" si="6"/>
        <v>91.2452101567175</v>
      </c>
      <c r="N18" s="26">
        <f t="shared" si="7"/>
        <v>98.33024118738403</v>
      </c>
      <c r="O18" s="26">
        <f t="shared" si="8"/>
        <v>112.39574281368449</v>
      </c>
      <c r="P18" s="26">
        <f t="shared" si="9"/>
        <v>86.34460313404517</v>
      </c>
      <c r="Q18" s="26">
        <f t="shared" si="10"/>
        <v>72.35621521335813</v>
      </c>
      <c r="R18" s="26">
        <f t="shared" si="13"/>
        <v>52.63157894736842</v>
      </c>
    </row>
    <row r="19" spans="1:18" ht="11.25">
      <c r="A19" s="28">
        <f t="shared" si="14"/>
        <v>20</v>
      </c>
      <c r="B19" s="28"/>
      <c r="C19" s="29">
        <f t="shared" si="0"/>
        <v>556.9771759165948</v>
      </c>
      <c r="D19" s="28">
        <f t="shared" si="1"/>
        <v>649.9999999999999</v>
      </c>
      <c r="E19" s="28">
        <f t="shared" si="2"/>
        <v>834.6728232755677</v>
      </c>
      <c r="F19" s="28">
        <f t="shared" si="11"/>
        <v>645.3979443704412</v>
      </c>
      <c r="G19" s="28"/>
      <c r="H19" s="28">
        <f t="shared" si="3"/>
        <v>39.65352702211031</v>
      </c>
      <c r="I19" s="28">
        <f t="shared" si="4"/>
        <v>37.755102040816325</v>
      </c>
      <c r="J19" s="28">
        <f t="shared" si="5"/>
        <v>33.98626891274352</v>
      </c>
      <c r="K19" s="28">
        <f t="shared" si="12"/>
        <v>30.27921723476831</v>
      </c>
      <c r="L19" s="28"/>
      <c r="M19" s="28">
        <f t="shared" si="6"/>
        <v>86.68294964888162</v>
      </c>
      <c r="N19" s="28">
        <f t="shared" si="7"/>
        <v>93.41372912801482</v>
      </c>
      <c r="O19" s="28">
        <f t="shared" si="8"/>
        <v>106.77595567300027</v>
      </c>
      <c r="P19" s="28">
        <f t="shared" si="9"/>
        <v>86.19910151982948</v>
      </c>
      <c r="Q19" s="28">
        <f t="shared" si="10"/>
        <v>72.35621521335813</v>
      </c>
      <c r="R19" s="28">
        <f t="shared" si="13"/>
        <v>50</v>
      </c>
    </row>
    <row r="20" spans="1:18" ht="11.25">
      <c r="A20" s="26">
        <f t="shared" si="14"/>
        <v>21</v>
      </c>
      <c r="B20" s="26"/>
      <c r="C20" s="25">
        <f t="shared" si="0"/>
        <v>530.4544532538997</v>
      </c>
      <c r="D20" s="26">
        <f t="shared" si="1"/>
        <v>619.0476190476189</v>
      </c>
      <c r="E20" s="26">
        <f t="shared" si="2"/>
        <v>794.9264983576834</v>
      </c>
      <c r="F20" s="26">
        <f t="shared" si="11"/>
        <v>649.8037633909177</v>
      </c>
      <c r="G20" s="26"/>
      <c r="H20" s="26">
        <f t="shared" si="3"/>
        <v>37.76526383058124</v>
      </c>
      <c r="I20" s="26">
        <f t="shared" si="4"/>
        <v>35.95724003887269</v>
      </c>
      <c r="J20" s="26">
        <f t="shared" si="5"/>
        <v>32.367875154993826</v>
      </c>
      <c r="K20" s="26">
        <f t="shared" si="12"/>
        <v>29.676833443910805</v>
      </c>
      <c r="L20" s="26"/>
      <c r="M20" s="26">
        <f t="shared" si="6"/>
        <v>82.555190141792</v>
      </c>
      <c r="N20" s="26">
        <f t="shared" si="7"/>
        <v>88.96545631239508</v>
      </c>
      <c r="O20" s="26">
        <f t="shared" si="8"/>
        <v>101.69138635523834</v>
      </c>
      <c r="P20" s="26">
        <f t="shared" si="9"/>
        <v>86.0520088936387</v>
      </c>
      <c r="Q20" s="26">
        <f t="shared" si="10"/>
        <v>72.35621521335813</v>
      </c>
      <c r="R20" s="26">
        <f t="shared" si="13"/>
        <v>47.61904761904762</v>
      </c>
    </row>
    <row r="21" spans="1:18" ht="11.25">
      <c r="A21" s="26">
        <f t="shared" si="14"/>
        <v>22</v>
      </c>
      <c r="B21" s="26"/>
      <c r="C21" s="25">
        <f t="shared" si="0"/>
        <v>506.3428871969044</v>
      </c>
      <c r="D21" s="26">
        <f t="shared" si="1"/>
        <v>590.9090909090909</v>
      </c>
      <c r="E21" s="26">
        <f t="shared" si="2"/>
        <v>758.7934757050616</v>
      </c>
      <c r="F21" s="26">
        <f t="shared" si="11"/>
        <v>654.2552327952721</v>
      </c>
      <c r="G21" s="26"/>
      <c r="H21" s="26">
        <f t="shared" si="3"/>
        <v>36.04866092919119</v>
      </c>
      <c r="I21" s="26">
        <f t="shared" si="4"/>
        <v>34.32282003710576</v>
      </c>
      <c r="J21" s="26">
        <f t="shared" si="5"/>
        <v>30.89660810249411</v>
      </c>
      <c r="K21" s="26">
        <f t="shared" si="12"/>
        <v>29.06643663551348</v>
      </c>
      <c r="L21" s="26"/>
      <c r="M21" s="26">
        <f t="shared" si="6"/>
        <v>78.8026814989833</v>
      </c>
      <c r="N21" s="26">
        <f t="shared" si="7"/>
        <v>84.92157193455895</v>
      </c>
      <c r="O21" s="26">
        <f t="shared" si="8"/>
        <v>97.06905061181843</v>
      </c>
      <c r="P21" s="26">
        <f t="shared" si="9"/>
        <v>85.90178174094608</v>
      </c>
      <c r="Q21" s="26">
        <f t="shared" si="10"/>
        <v>72.35621521335813</v>
      </c>
      <c r="R21" s="26">
        <f t="shared" si="13"/>
        <v>45.45454545454545</v>
      </c>
    </row>
    <row r="22" spans="1:18" ht="11.25">
      <c r="A22" s="26">
        <f t="shared" si="14"/>
        <v>23</v>
      </c>
      <c r="B22" s="26"/>
      <c r="C22" s="25">
        <f t="shared" si="0"/>
        <v>484.32797905790846</v>
      </c>
      <c r="D22" s="26">
        <f t="shared" si="1"/>
        <v>565.2173913043476</v>
      </c>
      <c r="E22" s="26">
        <f t="shared" si="2"/>
        <v>725.8024550222326</v>
      </c>
      <c r="F22" s="26">
        <f t="shared" si="11"/>
        <v>658.7366440701217</v>
      </c>
      <c r="G22" s="26"/>
      <c r="H22" s="26">
        <f t="shared" si="3"/>
        <v>34.48132784531331</v>
      </c>
      <c r="I22" s="26">
        <f t="shared" si="4"/>
        <v>32.83052351375332</v>
      </c>
      <c r="J22" s="26">
        <f t="shared" si="5"/>
        <v>29.553277315429142</v>
      </c>
      <c r="K22" s="26">
        <f t="shared" si="12"/>
        <v>28.448209948071185</v>
      </c>
      <c r="L22" s="26"/>
      <c r="M22" s="26">
        <f t="shared" si="6"/>
        <v>75.37647795554923</v>
      </c>
      <c r="N22" s="26">
        <f t="shared" si="7"/>
        <v>81.22932967653462</v>
      </c>
      <c r="O22" s="26">
        <f t="shared" si="8"/>
        <v>92.84865710695672</v>
      </c>
      <c r="P22" s="26">
        <f t="shared" si="9"/>
        <v>85.74715850462123</v>
      </c>
      <c r="Q22" s="26">
        <f t="shared" si="10"/>
        <v>72.35621521335813</v>
      </c>
      <c r="R22" s="26">
        <f t="shared" si="13"/>
        <v>43.47826086956522</v>
      </c>
    </row>
    <row r="23" spans="1:18" ht="11.25">
      <c r="A23" s="26">
        <f t="shared" si="14"/>
        <v>24</v>
      </c>
      <c r="B23" s="26"/>
      <c r="C23" s="25">
        <f t="shared" si="0"/>
        <v>464.14764659716235</v>
      </c>
      <c r="D23" s="26">
        <f t="shared" si="1"/>
        <v>541.6666666666666</v>
      </c>
      <c r="E23" s="26">
        <f t="shared" si="2"/>
        <v>695.5606860629731</v>
      </c>
      <c r="F23" s="26">
        <f t="shared" si="11"/>
        <v>663.2347417071966</v>
      </c>
      <c r="G23" s="26"/>
      <c r="H23" s="26">
        <f t="shared" si="3"/>
        <v>33.0446058517586</v>
      </c>
      <c r="I23" s="26">
        <f t="shared" si="4"/>
        <v>31.46258503401361</v>
      </c>
      <c r="J23" s="26">
        <f t="shared" si="5"/>
        <v>28.321890760619603</v>
      </c>
      <c r="K23" s="26">
        <f t="shared" si="12"/>
        <v>27.822339754307983</v>
      </c>
      <c r="L23" s="26"/>
      <c r="M23" s="26">
        <f t="shared" si="6"/>
        <v>72.23579137406803</v>
      </c>
      <c r="N23" s="26">
        <f t="shared" si="7"/>
        <v>77.84477427334569</v>
      </c>
      <c r="O23" s="26">
        <f t="shared" si="8"/>
        <v>88.97996306083355</v>
      </c>
      <c r="P23" s="26">
        <f t="shared" si="9"/>
        <v>85.58710356820696</v>
      </c>
      <c r="Q23" s="26">
        <f t="shared" si="10"/>
        <v>72.35621521335813</v>
      </c>
      <c r="R23" s="26">
        <f t="shared" si="13"/>
        <v>41.666666666666664</v>
      </c>
    </row>
    <row r="24" spans="1:18" ht="11.25">
      <c r="A24" s="28">
        <f t="shared" si="14"/>
        <v>25</v>
      </c>
      <c r="B24" s="28"/>
      <c r="C24" s="29">
        <f t="shared" si="0"/>
        <v>445.5817407332758</v>
      </c>
      <c r="D24" s="28">
        <f t="shared" si="1"/>
        <v>519.9999999999999</v>
      </c>
      <c r="E24" s="28">
        <f t="shared" si="2"/>
        <v>667.7382586204541</v>
      </c>
      <c r="F24" s="28">
        <f t="shared" si="11"/>
        <v>667.7382586204541</v>
      </c>
      <c r="G24" s="28"/>
      <c r="H24" s="28">
        <f t="shared" si="3"/>
        <v>31.722821617688247</v>
      </c>
      <c r="I24" s="28">
        <f t="shared" si="4"/>
        <v>30.20408163265306</v>
      </c>
      <c r="J24" s="28">
        <f t="shared" si="5"/>
        <v>27.18901513019481</v>
      </c>
      <c r="K24" s="28">
        <f t="shared" si="12"/>
        <v>27.18901513019481</v>
      </c>
      <c r="L24" s="28"/>
      <c r="M24" s="28">
        <f t="shared" si="6"/>
        <v>69.3463597191053</v>
      </c>
      <c r="N24" s="28">
        <f t="shared" si="7"/>
        <v>74.73098330241186</v>
      </c>
      <c r="O24" s="28">
        <f t="shared" si="8"/>
        <v>85.42076453840019</v>
      </c>
      <c r="P24" s="28">
        <f t="shared" si="9"/>
        <v>85.42076453840019</v>
      </c>
      <c r="Q24" s="28">
        <f t="shared" si="10"/>
        <v>72.35621521335813</v>
      </c>
      <c r="R24" s="28">
        <f t="shared" si="13"/>
        <v>40</v>
      </c>
    </row>
    <row r="25" spans="1:18" ht="11.25">
      <c r="A25" s="26">
        <f t="shared" si="14"/>
        <v>26</v>
      </c>
      <c r="B25" s="26"/>
      <c r="C25" s="25">
        <f t="shared" si="0"/>
        <v>428.4439814743037</v>
      </c>
      <c r="D25" s="26">
        <f t="shared" si="1"/>
        <v>499.99999999999994</v>
      </c>
      <c r="E25" s="26">
        <f t="shared" si="2"/>
        <v>642.0560179042828</v>
      </c>
      <c r="F25" s="26">
        <f t="shared" si="11"/>
        <v>672.2375582936952</v>
      </c>
      <c r="G25" s="26"/>
      <c r="H25" s="26">
        <f t="shared" si="3"/>
        <v>30.50271309393101</v>
      </c>
      <c r="I25" s="26">
        <f t="shared" si="4"/>
        <v>29.04238618524333</v>
      </c>
      <c r="J25" s="26">
        <f t="shared" si="5"/>
        <v>26.143283779033478</v>
      </c>
      <c r="K25" s="26">
        <f t="shared" si="12"/>
        <v>26.54842733417463</v>
      </c>
      <c r="L25" s="26"/>
      <c r="M25" s="26">
        <f t="shared" si="6"/>
        <v>66.67919203760125</v>
      </c>
      <c r="N25" s="26">
        <f t="shared" si="7"/>
        <v>71.85671471385757</v>
      </c>
      <c r="O25" s="26">
        <f t="shared" si="8"/>
        <v>82.13535051769252</v>
      </c>
      <c r="P25" s="26">
        <f t="shared" si="9"/>
        <v>85.24743923958559</v>
      </c>
      <c r="Q25" s="26">
        <f t="shared" si="10"/>
        <v>72.35621521335813</v>
      </c>
      <c r="R25" s="26">
        <f t="shared" si="13"/>
        <v>38.46153846153846</v>
      </c>
    </row>
    <row r="26" spans="1:18" ht="11.25">
      <c r="A26" s="26">
        <f t="shared" si="14"/>
        <v>27</v>
      </c>
      <c r="B26" s="26"/>
      <c r="C26" s="25">
        <f t="shared" si="0"/>
        <v>412.5756858641443</v>
      </c>
      <c r="D26" s="26">
        <f t="shared" si="1"/>
        <v>481.4814814814814</v>
      </c>
      <c r="E26" s="26">
        <f t="shared" si="2"/>
        <v>618.2761653893094</v>
      </c>
      <c r="F26" s="26">
        <f t="shared" si="11"/>
        <v>676.7243558826493</v>
      </c>
      <c r="G26" s="26"/>
      <c r="H26" s="26">
        <f t="shared" si="3"/>
        <v>29.37298297934097</v>
      </c>
      <c r="I26" s="26">
        <f t="shared" si="4"/>
        <v>27.966742252456537</v>
      </c>
      <c r="J26" s="26">
        <f t="shared" si="5"/>
        <v>25.175014009439643</v>
      </c>
      <c r="K26" s="26">
        <f t="shared" si="12"/>
        <v>25.900769298913033</v>
      </c>
      <c r="L26" s="26"/>
      <c r="M26" s="26">
        <f t="shared" si="6"/>
        <v>64.20959233250491</v>
      </c>
      <c r="N26" s="26">
        <f t="shared" si="7"/>
        <v>69.19535490964061</v>
      </c>
      <c r="O26" s="26">
        <f t="shared" si="8"/>
        <v>79.09330049851872</v>
      </c>
      <c r="P26" s="26">
        <f t="shared" si="9"/>
        <v>85.06654989743451</v>
      </c>
      <c r="Q26" s="26">
        <f t="shared" si="10"/>
        <v>72.35621521335813</v>
      </c>
      <c r="R26" s="26">
        <f t="shared" si="13"/>
        <v>37.03703703703704</v>
      </c>
    </row>
    <row r="27" spans="1:18" ht="11.25">
      <c r="A27" s="26">
        <f t="shared" si="14"/>
        <v>28</v>
      </c>
      <c r="B27" s="26"/>
      <c r="C27" s="25">
        <f t="shared" si="0"/>
        <v>397.84083994042487</v>
      </c>
      <c r="D27" s="26">
        <f t="shared" si="1"/>
        <v>464.2857142857142</v>
      </c>
      <c r="E27" s="26">
        <f t="shared" si="2"/>
        <v>596.1948737682626</v>
      </c>
      <c r="F27" s="26">
        <f t="shared" si="11"/>
        <v>681.191498440507</v>
      </c>
      <c r="G27" s="26"/>
      <c r="H27" s="26">
        <f t="shared" si="3"/>
        <v>28.323947872935943</v>
      </c>
      <c r="I27" s="26">
        <f t="shared" si="4"/>
        <v>26.967930029154523</v>
      </c>
      <c r="J27" s="26">
        <f t="shared" si="5"/>
        <v>24.275906366245373</v>
      </c>
      <c r="K27" s="26">
        <f t="shared" si="12"/>
        <v>25.246235137686366</v>
      </c>
      <c r="L27" s="26"/>
      <c r="M27" s="26">
        <f t="shared" si="6"/>
        <v>61.916392606344026</v>
      </c>
      <c r="N27" s="26">
        <f t="shared" si="7"/>
        <v>66.72409223429631</v>
      </c>
      <c r="O27" s="26">
        <f t="shared" si="8"/>
        <v>76.26853976642876</v>
      </c>
      <c r="P27" s="26">
        <f t="shared" si="9"/>
        <v>84.87762271067005</v>
      </c>
      <c r="Q27" s="26">
        <f t="shared" si="10"/>
        <v>72.35621521335813</v>
      </c>
      <c r="R27" s="26">
        <f t="shared" si="13"/>
        <v>35.714285714285715</v>
      </c>
    </row>
    <row r="28" spans="1:18" ht="11.25">
      <c r="A28" s="26">
        <f t="shared" si="14"/>
        <v>29</v>
      </c>
      <c r="B28" s="26"/>
      <c r="C28" s="25">
        <f t="shared" si="0"/>
        <v>384.1221902873067</v>
      </c>
      <c r="D28" s="26">
        <f t="shared" si="1"/>
        <v>448.2758620689654</v>
      </c>
      <c r="E28" s="26">
        <f t="shared" si="2"/>
        <v>575.636429845219</v>
      </c>
      <c r="F28" s="26">
        <f t="shared" si="11"/>
        <v>685.6327899155217</v>
      </c>
      <c r="G28" s="26"/>
      <c r="H28" s="26">
        <f t="shared" si="3"/>
        <v>27.34726001524849</v>
      </c>
      <c r="I28" s="26">
        <f t="shared" si="4"/>
        <v>26.038001407459532</v>
      </c>
      <c r="J28" s="26">
        <f t="shared" si="5"/>
        <v>23.438806146719667</v>
      </c>
      <c r="K28" s="26">
        <f t="shared" si="12"/>
        <v>24.585019667306025</v>
      </c>
      <c r="L28" s="26"/>
      <c r="M28" s="26">
        <f t="shared" si="6"/>
        <v>59.781344585435605</v>
      </c>
      <c r="N28" s="26">
        <f t="shared" si="7"/>
        <v>64.42326146759642</v>
      </c>
      <c r="O28" s="26">
        <f t="shared" si="8"/>
        <v>73.63859011931052</v>
      </c>
      <c r="P28" s="26">
        <f t="shared" si="9"/>
        <v>84.6802715080529</v>
      </c>
      <c r="Q28" s="26">
        <f t="shared" si="10"/>
        <v>72.35621521335813</v>
      </c>
      <c r="R28" s="26">
        <f t="shared" si="13"/>
        <v>34.48275862068966</v>
      </c>
    </row>
    <row r="29" spans="1:18" ht="11.25">
      <c r="A29" s="28">
        <f t="shared" si="14"/>
        <v>30</v>
      </c>
      <c r="B29" s="28"/>
      <c r="C29" s="29">
        <f t="shared" si="0"/>
        <v>371.31811727772987</v>
      </c>
      <c r="D29" s="28">
        <f t="shared" si="1"/>
        <v>433.33333333333326</v>
      </c>
      <c r="E29" s="28">
        <f t="shared" si="2"/>
        <v>556.4485488503784</v>
      </c>
      <c r="F29" s="28">
        <f t="shared" si="11"/>
        <v>690.042850405248</v>
      </c>
      <c r="G29" s="28"/>
      <c r="H29" s="28">
        <f t="shared" si="3"/>
        <v>26.435684681406872</v>
      </c>
      <c r="I29" s="28">
        <f t="shared" si="4"/>
        <v>25.17006802721089</v>
      </c>
      <c r="J29" s="28">
        <f t="shared" si="5"/>
        <v>22.657512608495676</v>
      </c>
      <c r="K29" s="28">
        <f t="shared" si="12"/>
        <v>23.917317949259232</v>
      </c>
      <c r="L29" s="28"/>
      <c r="M29" s="28">
        <f t="shared" si="6"/>
        <v>57.78863309925442</v>
      </c>
      <c r="N29" s="28">
        <f t="shared" si="7"/>
        <v>62.275819418676555</v>
      </c>
      <c r="O29" s="28">
        <f t="shared" si="8"/>
        <v>71.18397044866684</v>
      </c>
      <c r="P29" s="28">
        <f t="shared" si="9"/>
        <v>84.4741845361673</v>
      </c>
      <c r="Q29" s="28">
        <f t="shared" si="10"/>
        <v>72.35621521335813</v>
      </c>
      <c r="R29" s="28">
        <f t="shared" si="13"/>
        <v>33.333333333333336</v>
      </c>
    </row>
    <row r="30" spans="1:18" ht="11.25">
      <c r="A30" s="26">
        <f t="shared" si="14"/>
        <v>31</v>
      </c>
      <c r="B30" s="26"/>
      <c r="C30" s="25">
        <f t="shared" si="0"/>
        <v>359.3401134945773</v>
      </c>
      <c r="D30" s="26">
        <f t="shared" si="1"/>
        <v>419.3548387096773</v>
      </c>
      <c r="E30" s="26">
        <f t="shared" si="2"/>
        <v>538.4985956616565</v>
      </c>
      <c r="F30" s="26">
        <f t="shared" si="11"/>
        <v>694.417001874341</v>
      </c>
      <c r="G30" s="26"/>
      <c r="H30" s="26">
        <f t="shared" si="3"/>
        <v>25.582920659426005</v>
      </c>
      <c r="I30" s="26">
        <f t="shared" si="4"/>
        <v>24.35813034891376</v>
      </c>
      <c r="J30" s="26">
        <f t="shared" si="5"/>
        <v>21.926625104995814</v>
      </c>
      <c r="K30" s="26">
        <f t="shared" si="12"/>
        <v>23.243324850526882</v>
      </c>
      <c r="L30" s="26"/>
      <c r="M30" s="26">
        <f t="shared" si="6"/>
        <v>55.924483644439746</v>
      </c>
      <c r="N30" s="26">
        <f t="shared" si="7"/>
        <v>60.26692201807409</v>
      </c>
      <c r="O30" s="26">
        <f t="shared" si="8"/>
        <v>68.88771333741951</v>
      </c>
      <c r="P30" s="26">
        <f t="shared" si="9"/>
        <v>84.25911367087363</v>
      </c>
      <c r="Q30" s="26">
        <f t="shared" si="10"/>
        <v>72.35621521335813</v>
      </c>
      <c r="R30" s="26">
        <f t="shared" si="13"/>
        <v>32.25806451612903</v>
      </c>
    </row>
    <row r="31" spans="1:18" ht="11.25">
      <c r="A31" s="26">
        <f t="shared" si="14"/>
        <v>32</v>
      </c>
      <c r="B31" s="26"/>
      <c r="C31" s="25">
        <f t="shared" si="0"/>
        <v>348.1107349478717</v>
      </c>
      <c r="D31" s="26">
        <f t="shared" si="1"/>
        <v>406.24999999999994</v>
      </c>
      <c r="E31" s="26">
        <f t="shared" si="2"/>
        <v>521.6705145472298</v>
      </c>
      <c r="F31" s="26">
        <f t="shared" si="11"/>
        <v>698.7511744995043</v>
      </c>
      <c r="G31" s="26"/>
      <c r="H31" s="26">
        <f t="shared" si="3"/>
        <v>24.783454388818942</v>
      </c>
      <c r="I31" s="26">
        <f t="shared" si="4"/>
        <v>23.596938775510203</v>
      </c>
      <c r="J31" s="26">
        <f t="shared" si="5"/>
        <v>21.2414180704647</v>
      </c>
      <c r="K31" s="26">
        <f t="shared" si="12"/>
        <v>22.563234625319073</v>
      </c>
      <c r="L31" s="26"/>
      <c r="M31" s="26">
        <f t="shared" si="6"/>
        <v>54.17684353055101</v>
      </c>
      <c r="N31" s="26">
        <f t="shared" si="7"/>
        <v>58.38358070500928</v>
      </c>
      <c r="O31" s="26">
        <f t="shared" si="8"/>
        <v>66.73497229562516</v>
      </c>
      <c r="P31" s="26">
        <f t="shared" si="9"/>
        <v>84.03486552297225</v>
      </c>
      <c r="Q31" s="26">
        <f t="shared" si="10"/>
        <v>72.35621521335813</v>
      </c>
      <c r="R31" s="26">
        <f t="shared" si="13"/>
        <v>31.25</v>
      </c>
    </row>
    <row r="32" spans="1:18" ht="11.25">
      <c r="A32" s="26">
        <f t="shared" si="14"/>
        <v>33</v>
      </c>
      <c r="B32" s="26"/>
      <c r="C32" s="25">
        <f t="shared" si="0"/>
        <v>337.5619247979363</v>
      </c>
      <c r="D32" s="26">
        <f t="shared" si="1"/>
        <v>393.9393939393939</v>
      </c>
      <c r="E32" s="26">
        <f t="shared" si="2"/>
        <v>505.8623171367077</v>
      </c>
      <c r="F32" s="26">
        <f t="shared" si="11"/>
        <v>703.0418292281081</v>
      </c>
      <c r="G32" s="26"/>
      <c r="H32" s="26">
        <f t="shared" si="3"/>
        <v>24.0324406194608</v>
      </c>
      <c r="I32" s="26">
        <f t="shared" si="4"/>
        <v>22.88188002473717</v>
      </c>
      <c r="J32" s="26">
        <f t="shared" si="5"/>
        <v>20.597738734996074</v>
      </c>
      <c r="K32" s="26">
        <f t="shared" si="12"/>
        <v>21.877240518753005</v>
      </c>
      <c r="L32" s="26"/>
      <c r="M32" s="26">
        <f t="shared" si="6"/>
        <v>52.53512099932221</v>
      </c>
      <c r="N32" s="26">
        <f t="shared" si="7"/>
        <v>56.61438128970596</v>
      </c>
      <c r="O32" s="26">
        <f t="shared" si="8"/>
        <v>64.71270040787894</v>
      </c>
      <c r="P32" s="26">
        <f t="shared" si="9"/>
        <v>83.80129403778528</v>
      </c>
      <c r="Q32" s="26">
        <f t="shared" si="10"/>
        <v>72.35621521335813</v>
      </c>
      <c r="R32" s="26">
        <f t="shared" si="13"/>
        <v>30.303030303030305</v>
      </c>
    </row>
    <row r="33" spans="1:18" ht="11.25">
      <c r="A33" s="26">
        <f t="shared" si="14"/>
        <v>34</v>
      </c>
      <c r="B33" s="26"/>
      <c r="C33" s="25">
        <f t="shared" si="0"/>
        <v>327.63363289211463</v>
      </c>
      <c r="D33" s="26">
        <f t="shared" si="1"/>
        <v>382.35294117647055</v>
      </c>
      <c r="E33" s="26">
        <f t="shared" si="2"/>
        <v>490.9840136915104</v>
      </c>
      <c r="F33" s="26">
        <f t="shared" si="11"/>
        <v>707.2858931830575</v>
      </c>
      <c r="G33" s="26"/>
      <c r="H33" s="26">
        <f t="shared" si="3"/>
        <v>23.32560413065313</v>
      </c>
      <c r="I33" s="26">
        <f t="shared" si="4"/>
        <v>22.20888355342137</v>
      </c>
      <c r="J33" s="26">
        <f t="shared" si="5"/>
        <v>19.99192288984913</v>
      </c>
      <c r="K33" s="26">
        <f t="shared" si="12"/>
        <v>21.185534393286567</v>
      </c>
      <c r="L33" s="26"/>
      <c r="M33" s="26">
        <f t="shared" si="6"/>
        <v>50.98997038169507</v>
      </c>
      <c r="N33" s="26">
        <f t="shared" si="7"/>
        <v>54.94925242824402</v>
      </c>
      <c r="O33" s="26">
        <f t="shared" si="8"/>
        <v>62.80938569000015</v>
      </c>
      <c r="P33" s="26">
        <f t="shared" si="9"/>
        <v>83.55829428326572</v>
      </c>
      <c r="Q33" s="26">
        <f t="shared" si="10"/>
        <v>72.35621521335813</v>
      </c>
      <c r="R33" s="26">
        <f t="shared" si="13"/>
        <v>29.41176470588235</v>
      </c>
    </row>
    <row r="34" spans="1:18" ht="11.25">
      <c r="A34" s="28">
        <f t="shared" si="14"/>
        <v>35</v>
      </c>
      <c r="B34" s="28"/>
      <c r="C34" s="29">
        <f t="shared" si="0"/>
        <v>318.2726719523399</v>
      </c>
      <c r="D34" s="28">
        <f t="shared" si="1"/>
        <v>371.4285714285714</v>
      </c>
      <c r="E34" s="28">
        <f t="shared" si="2"/>
        <v>476.9558990146101</v>
      </c>
      <c r="F34" s="28">
        <f t="shared" si="11"/>
        <v>711.4807053233382</v>
      </c>
      <c r="G34" s="28"/>
      <c r="H34" s="28">
        <f t="shared" si="3"/>
        <v>22.659158298348753</v>
      </c>
      <c r="I34" s="28">
        <f t="shared" si="4"/>
        <v>21.574344023323615</v>
      </c>
      <c r="J34" s="28">
        <f t="shared" si="5"/>
        <v>19.4207250929963</v>
      </c>
      <c r="K34" s="28">
        <f t="shared" si="12"/>
        <v>20.488306378516864</v>
      </c>
      <c r="L34" s="28"/>
      <c r="M34" s="28">
        <f t="shared" si="6"/>
        <v>49.53311408507522</v>
      </c>
      <c r="N34" s="28">
        <f t="shared" si="7"/>
        <v>53.37927378743705</v>
      </c>
      <c r="O34" s="28">
        <f t="shared" si="8"/>
        <v>61.014831813143005</v>
      </c>
      <c r="P34" s="28">
        <f t="shared" si="9"/>
        <v>83.30579719168243</v>
      </c>
      <c r="Q34" s="28">
        <f t="shared" si="10"/>
        <v>72.35621521335813</v>
      </c>
      <c r="R34" s="28">
        <f t="shared" si="13"/>
        <v>28.571428571428573</v>
      </c>
    </row>
    <row r="35" spans="1:18" ht="11.25">
      <c r="A35" s="26">
        <f t="shared" si="14"/>
        <v>36</v>
      </c>
      <c r="B35" s="26"/>
      <c r="C35" s="25">
        <f t="shared" si="0"/>
        <v>309.4317643981082</v>
      </c>
      <c r="D35" s="26">
        <f t="shared" si="1"/>
        <v>361.11111111111103</v>
      </c>
      <c r="E35" s="26">
        <f t="shared" si="2"/>
        <v>463.707124041982</v>
      </c>
      <c r="F35" s="26">
        <f t="shared" si="11"/>
        <v>715.6239703519843</v>
      </c>
      <c r="G35" s="26"/>
      <c r="H35" s="26">
        <f t="shared" si="3"/>
        <v>22.029737234505728</v>
      </c>
      <c r="I35" s="26">
        <f t="shared" si="4"/>
        <v>20.975056689342406</v>
      </c>
      <c r="J35" s="26">
        <f t="shared" si="5"/>
        <v>18.881260507079734</v>
      </c>
      <c r="K35" s="26">
        <f t="shared" si="12"/>
        <v>19.78574454475801</v>
      </c>
      <c r="L35" s="26"/>
      <c r="M35" s="26">
        <f t="shared" si="6"/>
        <v>48.157194249378676</v>
      </c>
      <c r="N35" s="26">
        <f t="shared" si="7"/>
        <v>51.89651618223046</v>
      </c>
      <c r="O35" s="26">
        <f t="shared" si="8"/>
        <v>59.31997537388902</v>
      </c>
      <c r="P35" s="26">
        <f t="shared" si="9"/>
        <v>83.04376507268766</v>
      </c>
      <c r="Q35" s="26">
        <f t="shared" si="10"/>
        <v>72.35621521335813</v>
      </c>
      <c r="R35" s="26">
        <f t="shared" si="13"/>
        <v>27.77777777777778</v>
      </c>
    </row>
    <row r="36" spans="1:18" ht="11.25">
      <c r="A36" s="26">
        <f t="shared" si="14"/>
        <v>37</v>
      </c>
      <c r="B36" s="26"/>
      <c r="C36" s="25">
        <f t="shared" si="0"/>
        <v>301.0687437386999</v>
      </c>
      <c r="D36" s="26">
        <f t="shared" si="1"/>
        <v>351.35135135135124</v>
      </c>
      <c r="E36" s="26">
        <f t="shared" si="2"/>
        <v>451.17449906787436</v>
      </c>
      <c r="F36" s="26">
        <f t="shared" si="11"/>
        <v>719.7137193035583</v>
      </c>
      <c r="G36" s="26"/>
      <c r="H36" s="26">
        <f t="shared" si="3"/>
        <v>21.434338930870435</v>
      </c>
      <c r="I36" s="26">
        <f t="shared" si="4"/>
        <v>20.408163265306122</v>
      </c>
      <c r="J36" s="26">
        <f t="shared" si="5"/>
        <v>18.37095616905055</v>
      </c>
      <c r="K36" s="26">
        <f t="shared" si="12"/>
        <v>19.07803460062722</v>
      </c>
      <c r="L36" s="26"/>
      <c r="M36" s="26">
        <f t="shared" si="6"/>
        <v>46.85564845885493</v>
      </c>
      <c r="N36" s="26">
        <f t="shared" si="7"/>
        <v>50.49390763676477</v>
      </c>
      <c r="O36" s="26">
        <f t="shared" si="8"/>
        <v>57.716732796216355</v>
      </c>
      <c r="P36" s="26">
        <f t="shared" si="9"/>
        <v>82.77218775543913</v>
      </c>
      <c r="Q36" s="26">
        <f t="shared" si="10"/>
        <v>72.35621521335813</v>
      </c>
      <c r="R36" s="26">
        <f t="shared" si="13"/>
        <v>27.027027027027028</v>
      </c>
    </row>
    <row r="37" spans="1:18" ht="11.25">
      <c r="A37" s="26">
        <f t="shared" si="14"/>
        <v>38</v>
      </c>
      <c r="B37" s="26"/>
      <c r="C37" s="25">
        <f t="shared" si="0"/>
        <v>293.1458820613657</v>
      </c>
      <c r="D37" s="26">
        <f t="shared" si="1"/>
        <v>342.1052631578947</v>
      </c>
      <c r="E37" s="26">
        <f t="shared" si="2"/>
        <v>439.30148593450934</v>
      </c>
      <c r="F37" s="26">
        <f t="shared" si="11"/>
        <v>723.7482755789109</v>
      </c>
      <c r="G37" s="26"/>
      <c r="H37" s="26">
        <f t="shared" si="3"/>
        <v>20.87027738005806</v>
      </c>
      <c r="I37" s="26">
        <f t="shared" si="4"/>
        <v>19.87110633727175</v>
      </c>
      <c r="J37" s="26">
        <f t="shared" si="5"/>
        <v>17.887509954075536</v>
      </c>
      <c r="K37" s="26">
        <f t="shared" si="12"/>
        <v>18.36535961469501</v>
      </c>
      <c r="L37" s="26"/>
      <c r="M37" s="26">
        <f t="shared" si="6"/>
        <v>45.62260507835875</v>
      </c>
      <c r="N37" s="26">
        <f t="shared" si="7"/>
        <v>49.165120593692016</v>
      </c>
      <c r="O37" s="26">
        <f t="shared" si="8"/>
        <v>56.197871406842246</v>
      </c>
      <c r="P37" s="26">
        <f t="shared" si="9"/>
        <v>82.49107924780554</v>
      </c>
      <c r="Q37" s="26">
        <f t="shared" si="10"/>
        <v>72.35621521335813</v>
      </c>
      <c r="R37" s="26">
        <f t="shared" si="13"/>
        <v>26.31578947368421</v>
      </c>
    </row>
    <row r="38" spans="1:18" ht="11.25">
      <c r="A38" s="26">
        <f t="shared" si="14"/>
        <v>39</v>
      </c>
      <c r="B38" s="26"/>
      <c r="C38" s="25">
        <f t="shared" si="0"/>
        <v>285.62932098286916</v>
      </c>
      <c r="D38" s="26">
        <f t="shared" si="1"/>
        <v>333.3333333333333</v>
      </c>
      <c r="E38" s="26">
        <f t="shared" si="2"/>
        <v>428.0373452695219</v>
      </c>
      <c r="F38" s="26">
        <f t="shared" si="11"/>
        <v>727.726225452816</v>
      </c>
      <c r="G38" s="26"/>
      <c r="H38" s="26">
        <f t="shared" si="3"/>
        <v>20.335142062620676</v>
      </c>
      <c r="I38" s="26">
        <f t="shared" si="4"/>
        <v>19.36159079016222</v>
      </c>
      <c r="J38" s="26">
        <f t="shared" si="5"/>
        <v>17.428855852688987</v>
      </c>
      <c r="K38" s="26">
        <f t="shared" si="12"/>
        <v>17.647899761094017</v>
      </c>
      <c r="L38" s="26"/>
      <c r="M38" s="26">
        <f t="shared" si="6"/>
        <v>44.45279469173418</v>
      </c>
      <c r="N38" s="26">
        <f t="shared" si="7"/>
        <v>47.90447647590504</v>
      </c>
      <c r="O38" s="26">
        <f t="shared" si="8"/>
        <v>54.756900345128344</v>
      </c>
      <c r="P38" s="26">
        <f t="shared" si="9"/>
        <v>82.20047482397784</v>
      </c>
      <c r="Q38" s="26">
        <f t="shared" si="10"/>
        <v>72.35621521335813</v>
      </c>
      <c r="R38" s="26">
        <f t="shared" si="13"/>
        <v>25.641025641025642</v>
      </c>
    </row>
    <row r="39" spans="1:18" ht="11.25">
      <c r="A39" s="26">
        <f t="shared" si="14"/>
        <v>40</v>
      </c>
      <c r="B39" s="26"/>
      <c r="C39" s="25">
        <f t="shared" si="0"/>
        <v>278.4885879582974</v>
      </c>
      <c r="D39" s="26">
        <f t="shared" si="1"/>
        <v>324.99999999999994</v>
      </c>
      <c r="E39" s="26">
        <f t="shared" si="2"/>
        <v>417.33641163778384</v>
      </c>
      <c r="F39" s="26">
        <f t="shared" si="11"/>
        <v>731.6463922794993</v>
      </c>
      <c r="G39" s="26"/>
      <c r="H39" s="26">
        <f t="shared" si="3"/>
        <v>19.826763511055155</v>
      </c>
      <c r="I39" s="26">
        <f t="shared" si="4"/>
        <v>18.877551020408163</v>
      </c>
      <c r="J39" s="26">
        <f t="shared" si="5"/>
        <v>16.99313445637176</v>
      </c>
      <c r="K39" s="26">
        <f t="shared" si="12"/>
        <v>16.92583208883267</v>
      </c>
      <c r="L39" s="26"/>
      <c r="M39" s="26">
        <f t="shared" si="6"/>
        <v>43.34147482444081</v>
      </c>
      <c r="N39" s="26">
        <f t="shared" si="7"/>
        <v>46.70686456400741</v>
      </c>
      <c r="O39" s="26">
        <f t="shared" si="8"/>
        <v>53.387977836500134</v>
      </c>
      <c r="P39" s="26">
        <f t="shared" si="9"/>
        <v>81.90042846980236</v>
      </c>
      <c r="Q39" s="26">
        <f t="shared" si="10"/>
        <v>72.35621521335813</v>
      </c>
      <c r="R39" s="26">
        <f t="shared" si="13"/>
        <v>25</v>
      </c>
    </row>
    <row r="40" spans="1:18" ht="11.25">
      <c r="A40" s="26">
        <f t="shared" si="14"/>
        <v>41</v>
      </c>
      <c r="B40" s="26"/>
      <c r="C40" s="25">
        <f t="shared" si="0"/>
        <v>271.69618337394866</v>
      </c>
      <c r="D40" s="26">
        <f t="shared" si="1"/>
        <v>317.07317073170725</v>
      </c>
      <c r="E40" s="26">
        <f t="shared" si="2"/>
        <v>407.15747476856956</v>
      </c>
      <c r="F40" s="26">
        <f t="shared" si="11"/>
        <v>735.5078137763157</v>
      </c>
      <c r="G40" s="26"/>
      <c r="H40" s="26">
        <f t="shared" si="3"/>
        <v>19.343183913224543</v>
      </c>
      <c r="I40" s="26">
        <f t="shared" si="4"/>
        <v>18.41712294673967</v>
      </c>
      <c r="J40" s="26">
        <f t="shared" si="5"/>
        <v>16.57866776231391</v>
      </c>
      <c r="K40" s="26">
        <f t="shared" si="12"/>
        <v>16.199330314425353</v>
      </c>
      <c r="L40" s="26"/>
      <c r="M40" s="26">
        <f t="shared" si="6"/>
        <v>42.28436568238128</v>
      </c>
      <c r="N40" s="26">
        <f t="shared" si="7"/>
        <v>45.56767274537308</v>
      </c>
      <c r="O40" s="26">
        <f t="shared" si="8"/>
        <v>52.08583203560988</v>
      </c>
      <c r="P40" s="26">
        <f t="shared" si="9"/>
        <v>81.59101062914266</v>
      </c>
      <c r="Q40" s="26">
        <f t="shared" si="10"/>
        <v>72.35621521335813</v>
      </c>
      <c r="R40" s="26">
        <f t="shared" si="13"/>
        <v>24.390243902439025</v>
      </c>
    </row>
    <row r="41" spans="1:18" ht="11.25">
      <c r="A41" s="26">
        <f t="shared" si="14"/>
        <v>42</v>
      </c>
      <c r="B41" s="26"/>
      <c r="C41" s="25">
        <f aca="true" t="shared" si="15" ref="C41:C59">$E$2/$A41*$E$1*prolin($E$2,$E$4)</f>
        <v>265.22722662694986</v>
      </c>
      <c r="D41" s="26">
        <f aca="true" t="shared" si="16" ref="D41:D59">$E$2/$A41*$E$1*procour($E$2,$E$4)</f>
        <v>309.52380952380946</v>
      </c>
      <c r="E41" s="26">
        <f aca="true" t="shared" si="17" ref="E41:E59">$E$2/$A41*$E$1*proremp($E$2,$E$4,$E$3)</f>
        <v>397.4632491788417</v>
      </c>
      <c r="F41" s="26">
        <f t="shared" si="11"/>
        <v>739.3097218874102</v>
      </c>
      <c r="G41" s="26"/>
      <c r="H41" s="26">
        <f aca="true" t="shared" si="18" ref="H41:H59">$E$2/$A41*$E$1*(1+$E$2*$E$4*prolin($E$2,$E$4))/(1+$E$4)/$E$2</f>
        <v>18.88263191529062</v>
      </c>
      <c r="I41" s="26">
        <f aca="true" t="shared" si="19" ref="I41:I59">$E$2/$A41*$E$1*(1+$E$2*$E$4*procour($E$2,$E$4))/(1+$E$4)/$E$2</f>
        <v>17.978620019436345</v>
      </c>
      <c r="J41" s="26">
        <f aca="true" t="shared" si="20" ref="J41:J59">$E$2/$A41*$E$1*(1+$E$2*$E$4*proremp($E$2,$E$4,$E$3))/(1+$E$4)/$E$2</f>
        <v>16.183937577496913</v>
      </c>
      <c r="K41" s="26">
        <f t="shared" si="12"/>
        <v>15.468564637329612</v>
      </c>
      <c r="L41" s="26"/>
      <c r="M41" s="26">
        <f aca="true" t="shared" si="21" ref="M41:M59">($E$3*C41+H41)/(1+$E$3)</f>
        <v>41.277595070896</v>
      </c>
      <c r="N41" s="26">
        <f aca="true" t="shared" si="22" ref="N41:N59">($E$3*D41+I41)/(1+$E$3)</f>
        <v>44.48272815619754</v>
      </c>
      <c r="O41" s="26">
        <f aca="true" t="shared" si="23" ref="O41:O59">($E$3*E41+J41)/(1+$E$3)</f>
        <v>50.84569317761917</v>
      </c>
      <c r="P41" s="26">
        <f aca="true" t="shared" si="24" ref="P41:P59">($E$3*F41+K41)/(1+$E$3)</f>
        <v>81.27230620551875</v>
      </c>
      <c r="Q41" s="26">
        <f aca="true" t="shared" si="25" ref="Q41:Q59">$E$1*$E$5/(1+$E$5)</f>
        <v>72.35621521335813</v>
      </c>
      <c r="R41" s="26">
        <f t="shared" si="13"/>
        <v>23.80952380952381</v>
      </c>
    </row>
    <row r="42" spans="1:18" ht="11.25">
      <c r="A42" s="26">
        <f aca="true" t="shared" si="26" ref="A42:A59">A41+1</f>
        <v>43</v>
      </c>
      <c r="B42" s="26"/>
      <c r="C42" s="25">
        <f t="shared" si="15"/>
        <v>259.05915158911387</v>
      </c>
      <c r="D42" s="26">
        <f t="shared" si="16"/>
        <v>302.3255813953488</v>
      </c>
      <c r="E42" s="26">
        <f t="shared" si="17"/>
        <v>388.21991780258963</v>
      </c>
      <c r="F42" s="26">
        <f t="shared" si="11"/>
        <v>743.0515248249365</v>
      </c>
      <c r="G42" s="26"/>
      <c r="H42" s="26">
        <f t="shared" si="18"/>
        <v>18.443500940516422</v>
      </c>
      <c r="I42" s="26">
        <f t="shared" si="19"/>
        <v>17.560512577123873</v>
      </c>
      <c r="J42" s="26">
        <f t="shared" si="20"/>
        <v>15.807566936159777</v>
      </c>
      <c r="K42" s="26">
        <f t="shared" si="12"/>
        <v>14.733701577573663</v>
      </c>
      <c r="L42" s="26"/>
      <c r="M42" s="26">
        <f t="shared" si="21"/>
        <v>40.317650999479824</v>
      </c>
      <c r="N42" s="26">
        <f t="shared" si="22"/>
        <v>43.44824610605342</v>
      </c>
      <c r="O42" s="26">
        <f t="shared" si="23"/>
        <v>49.66323519674431</v>
      </c>
      <c r="P42" s="26">
        <f t="shared" si="24"/>
        <v>80.94441278187938</v>
      </c>
      <c r="Q42" s="26">
        <f t="shared" si="25"/>
        <v>72.35621521335813</v>
      </c>
      <c r="R42" s="26">
        <f t="shared" si="13"/>
        <v>23.25581395348837</v>
      </c>
    </row>
    <row r="43" spans="1:18" ht="11.25">
      <c r="A43" s="26">
        <f t="shared" si="26"/>
        <v>44</v>
      </c>
      <c r="B43" s="26"/>
      <c r="C43" s="25">
        <f t="shared" si="15"/>
        <v>253.1714435984522</v>
      </c>
      <c r="D43" s="26">
        <f t="shared" si="16"/>
        <v>295.45454545454544</v>
      </c>
      <c r="E43" s="26">
        <f t="shared" si="17"/>
        <v>379.3967378525308</v>
      </c>
      <c r="F43" s="26">
        <f t="shared" si="11"/>
        <v>746.7327909611777</v>
      </c>
      <c r="G43" s="26"/>
      <c r="H43" s="26">
        <f t="shared" si="18"/>
        <v>18.024330464595597</v>
      </c>
      <c r="I43" s="26">
        <f t="shared" si="19"/>
        <v>17.16141001855288</v>
      </c>
      <c r="J43" s="26">
        <f t="shared" si="20"/>
        <v>15.448304051247055</v>
      </c>
      <c r="K43" s="26">
        <f t="shared" si="12"/>
        <v>13.994903834863827</v>
      </c>
      <c r="L43" s="26"/>
      <c r="M43" s="26">
        <f t="shared" si="21"/>
        <v>39.40134074949165</v>
      </c>
      <c r="N43" s="26">
        <f t="shared" si="22"/>
        <v>42.46078596727948</v>
      </c>
      <c r="O43" s="26">
        <f t="shared" si="23"/>
        <v>48.53452530590921</v>
      </c>
      <c r="P43" s="26">
        <f t="shared" si="24"/>
        <v>80.60743902816509</v>
      </c>
      <c r="Q43" s="26">
        <f t="shared" si="25"/>
        <v>72.35621521335813</v>
      </c>
      <c r="R43" s="26">
        <f t="shared" si="13"/>
        <v>22.727272727272727</v>
      </c>
    </row>
    <row r="44" spans="1:18" ht="11.25">
      <c r="A44" s="26">
        <f t="shared" si="26"/>
        <v>45</v>
      </c>
      <c r="B44" s="26"/>
      <c r="C44" s="25">
        <f t="shared" si="15"/>
        <v>247.54541151848656</v>
      </c>
      <c r="D44" s="26">
        <f t="shared" si="16"/>
        <v>288.88888888888886</v>
      </c>
      <c r="E44" s="26">
        <f t="shared" si="17"/>
        <v>370.9656992335856</v>
      </c>
      <c r="F44" s="26">
        <f t="shared" si="11"/>
        <v>750.3532343051803</v>
      </c>
      <c r="G44" s="26"/>
      <c r="H44" s="26">
        <f t="shared" si="18"/>
        <v>17.62378978760458</v>
      </c>
      <c r="I44" s="26">
        <f t="shared" si="19"/>
        <v>16.780045351473923</v>
      </c>
      <c r="J44" s="26">
        <f t="shared" si="20"/>
        <v>15.105008405663787</v>
      </c>
      <c r="K44" s="26">
        <f t="shared" si="12"/>
        <v>13.252330168381132</v>
      </c>
      <c r="L44" s="26"/>
      <c r="M44" s="26">
        <f t="shared" si="21"/>
        <v>38.52575539950294</v>
      </c>
      <c r="N44" s="26">
        <f t="shared" si="22"/>
        <v>41.517212945784365</v>
      </c>
      <c r="O44" s="26">
        <f t="shared" si="23"/>
        <v>47.455980299111225</v>
      </c>
      <c r="P44" s="26">
        <f t="shared" si="24"/>
        <v>80.26150327172651</v>
      </c>
      <c r="Q44" s="26">
        <f t="shared" si="25"/>
        <v>72.35621521335813</v>
      </c>
      <c r="R44" s="26">
        <f t="shared" si="13"/>
        <v>22.22222222222222</v>
      </c>
    </row>
    <row r="45" spans="1:18" ht="11.25">
      <c r="A45" s="26">
        <f t="shared" si="26"/>
        <v>46</v>
      </c>
      <c r="B45" s="26"/>
      <c r="C45" s="25">
        <f t="shared" si="15"/>
        <v>242.16398952895423</v>
      </c>
      <c r="D45" s="26">
        <f t="shared" si="16"/>
        <v>282.6086956521738</v>
      </c>
      <c r="E45" s="26">
        <f t="shared" si="17"/>
        <v>362.9012275111163</v>
      </c>
      <c r="F45" s="26">
        <f t="shared" si="11"/>
        <v>753.9127013456281</v>
      </c>
      <c r="G45" s="26"/>
      <c r="H45" s="26">
        <f t="shared" si="18"/>
        <v>17.240663922656655</v>
      </c>
      <c r="I45" s="26">
        <f t="shared" si="19"/>
        <v>16.41526175687666</v>
      </c>
      <c r="J45" s="26">
        <f t="shared" si="20"/>
        <v>14.776638657714571</v>
      </c>
      <c r="K45" s="26">
        <f t="shared" si="12"/>
        <v>12.506135296409065</v>
      </c>
      <c r="L45" s="26"/>
      <c r="M45" s="26">
        <f t="shared" si="21"/>
        <v>37.68823897777462</v>
      </c>
      <c r="N45" s="26">
        <f t="shared" si="22"/>
        <v>40.61466483826731</v>
      </c>
      <c r="O45" s="26">
        <f t="shared" si="23"/>
        <v>46.42432855347836</v>
      </c>
      <c r="P45" s="26">
        <f t="shared" si="24"/>
        <v>79.90673220997444</v>
      </c>
      <c r="Q45" s="26">
        <f t="shared" si="25"/>
        <v>72.35621521335813</v>
      </c>
      <c r="R45" s="26">
        <f t="shared" si="13"/>
        <v>21.73913043478261</v>
      </c>
    </row>
    <row r="46" spans="1:18" ht="11.25">
      <c r="A46" s="26">
        <f t="shared" si="26"/>
        <v>47</v>
      </c>
      <c r="B46" s="26"/>
      <c r="C46" s="25">
        <f t="shared" si="15"/>
        <v>237.01156421982753</v>
      </c>
      <c r="D46" s="26">
        <f t="shared" si="16"/>
        <v>276.595744680851</v>
      </c>
      <c r="E46" s="26">
        <f t="shared" si="17"/>
        <v>355.17992479811386</v>
      </c>
      <c r="F46" s="26">
        <f t="shared" si="11"/>
        <v>757.4111590802729</v>
      </c>
      <c r="G46" s="26"/>
      <c r="H46" s="26">
        <f t="shared" si="18"/>
        <v>16.87384128600439</v>
      </c>
      <c r="I46" s="26">
        <f t="shared" si="19"/>
        <v>16.06600086843248</v>
      </c>
      <c r="J46" s="26">
        <f t="shared" si="20"/>
        <v>14.462242090529156</v>
      </c>
      <c r="K46" s="26">
        <f t="shared" si="12"/>
        <v>11.756469814879322</v>
      </c>
      <c r="L46" s="26"/>
      <c r="M46" s="26">
        <f t="shared" si="21"/>
        <v>36.886361552715584</v>
      </c>
      <c r="N46" s="26">
        <f t="shared" si="22"/>
        <v>39.750523033197794</v>
      </c>
      <c r="O46" s="26">
        <f t="shared" si="23"/>
        <v>45.43657688212776</v>
      </c>
      <c r="P46" s="26">
        <f t="shared" si="24"/>
        <v>79.54325974809692</v>
      </c>
      <c r="Q46" s="26">
        <f t="shared" si="25"/>
        <v>72.35621521335813</v>
      </c>
      <c r="R46" s="26">
        <f t="shared" si="13"/>
        <v>21.27659574468085</v>
      </c>
    </row>
    <row r="47" spans="1:18" ht="11.25">
      <c r="A47" s="26">
        <f t="shared" si="26"/>
        <v>48</v>
      </c>
      <c r="B47" s="26"/>
      <c r="C47" s="25">
        <f t="shared" si="15"/>
        <v>232.07382329858117</v>
      </c>
      <c r="D47" s="26">
        <f t="shared" si="16"/>
        <v>270.8333333333333</v>
      </c>
      <c r="E47" s="26">
        <f t="shared" si="17"/>
        <v>347.78034303148655</v>
      </c>
      <c r="F47" s="26">
        <f t="shared" si="11"/>
        <v>760.8486840832915</v>
      </c>
      <c r="G47" s="26"/>
      <c r="H47" s="26">
        <f t="shared" si="18"/>
        <v>16.5223029258793</v>
      </c>
      <c r="I47" s="26">
        <f t="shared" si="19"/>
        <v>15.731292517006805</v>
      </c>
      <c r="J47" s="26">
        <f t="shared" si="20"/>
        <v>14.160945380309801</v>
      </c>
      <c r="K47" s="26">
        <f t="shared" si="12"/>
        <v>11.003480133879195</v>
      </c>
      <c r="L47" s="26"/>
      <c r="M47" s="26">
        <f t="shared" si="21"/>
        <v>36.117895687034014</v>
      </c>
      <c r="N47" s="26">
        <f t="shared" si="22"/>
        <v>38.922387136672846</v>
      </c>
      <c r="O47" s="26">
        <f t="shared" si="23"/>
        <v>44.48998153041678</v>
      </c>
      <c r="P47" s="26">
        <f t="shared" si="24"/>
        <v>79.17122594746212</v>
      </c>
      <c r="Q47" s="26">
        <f t="shared" si="25"/>
        <v>72.35621521335813</v>
      </c>
      <c r="R47" s="26">
        <f t="shared" si="13"/>
        <v>20.833333333333332</v>
      </c>
    </row>
    <row r="48" spans="1:18" ht="11.25">
      <c r="A48" s="26">
        <f t="shared" si="26"/>
        <v>49</v>
      </c>
      <c r="B48" s="26"/>
      <c r="C48" s="25">
        <f t="shared" si="15"/>
        <v>227.3376228230999</v>
      </c>
      <c r="D48" s="26">
        <f t="shared" si="16"/>
        <v>265.3061224489795</v>
      </c>
      <c r="E48" s="26">
        <f t="shared" si="17"/>
        <v>340.6827850104358</v>
      </c>
      <c r="F48" s="26">
        <f t="shared" si="11"/>
        <v>764.2254524869975</v>
      </c>
      <c r="G48" s="26"/>
      <c r="H48" s="26">
        <f t="shared" si="18"/>
        <v>16.18511307024911</v>
      </c>
      <c r="I48" s="26">
        <f t="shared" si="19"/>
        <v>15.410245730945439</v>
      </c>
      <c r="J48" s="26">
        <f t="shared" si="20"/>
        <v>13.871946494997355</v>
      </c>
      <c r="K48" s="26">
        <f t="shared" si="12"/>
        <v>10.247308431132348</v>
      </c>
      <c r="L48" s="26"/>
      <c r="M48" s="26">
        <f t="shared" si="21"/>
        <v>35.38079577505372</v>
      </c>
      <c r="N48" s="26">
        <f t="shared" si="22"/>
        <v>38.12805270531217</v>
      </c>
      <c r="O48" s="26">
        <f t="shared" si="23"/>
        <v>43.582022723673575</v>
      </c>
      <c r="P48" s="26">
        <f t="shared" si="24"/>
        <v>78.79077607257463</v>
      </c>
      <c r="Q48" s="26">
        <f t="shared" si="25"/>
        <v>72.35621521335813</v>
      </c>
      <c r="R48" s="26">
        <f t="shared" si="13"/>
        <v>20.408163265306122</v>
      </c>
    </row>
    <row r="49" spans="1:18" ht="11.25">
      <c r="A49" s="26">
        <f t="shared" si="26"/>
        <v>50</v>
      </c>
      <c r="B49" s="26"/>
      <c r="C49" s="25">
        <f t="shared" si="15"/>
        <v>222.7908703666379</v>
      </c>
      <c r="D49" s="26">
        <f t="shared" si="16"/>
        <v>259.99999999999994</v>
      </c>
      <c r="E49" s="26">
        <f t="shared" si="17"/>
        <v>333.86912931022704</v>
      </c>
      <c r="F49" s="26">
        <f t="shared" si="11"/>
        <v>767.5417307746588</v>
      </c>
      <c r="G49" s="26"/>
      <c r="H49" s="26">
        <f t="shared" si="18"/>
        <v>15.861410808844123</v>
      </c>
      <c r="I49" s="26">
        <f t="shared" si="19"/>
        <v>15.10204081632653</v>
      </c>
      <c r="J49" s="26">
        <f t="shared" si="20"/>
        <v>13.594507565097405</v>
      </c>
      <c r="K49" s="26">
        <f t="shared" si="12"/>
        <v>9.488092621442497</v>
      </c>
      <c r="L49" s="26"/>
      <c r="M49" s="26">
        <f t="shared" si="21"/>
        <v>34.67317985955265</v>
      </c>
      <c r="N49" s="26">
        <f t="shared" si="22"/>
        <v>37.36549165120593</v>
      </c>
      <c r="O49" s="26">
        <f t="shared" si="23"/>
        <v>42.710382269200096</v>
      </c>
      <c r="P49" s="26">
        <f t="shared" si="24"/>
        <v>78.40205972628036</v>
      </c>
      <c r="Q49" s="26">
        <f t="shared" si="25"/>
        <v>72.35621521335813</v>
      </c>
      <c r="R49" s="26">
        <f t="shared" si="13"/>
        <v>20</v>
      </c>
    </row>
    <row r="50" spans="1:18" ht="11.25">
      <c r="A50" s="26">
        <f t="shared" si="26"/>
        <v>51</v>
      </c>
      <c r="B50" s="26"/>
      <c r="C50" s="25">
        <f t="shared" si="15"/>
        <v>218.42242192807637</v>
      </c>
      <c r="D50" s="26">
        <f t="shared" si="16"/>
        <v>254.90196078431367</v>
      </c>
      <c r="E50" s="26">
        <f t="shared" si="17"/>
        <v>327.3226757943402</v>
      </c>
      <c r="F50" s="26">
        <f t="shared" si="11"/>
        <v>770.7978672976452</v>
      </c>
      <c r="G50" s="26"/>
      <c r="H50" s="26">
        <f t="shared" si="18"/>
        <v>15.550402753768749</v>
      </c>
      <c r="I50" s="26">
        <f t="shared" si="19"/>
        <v>14.805922368947579</v>
      </c>
      <c r="J50" s="26">
        <f t="shared" si="20"/>
        <v>13.327948593232753</v>
      </c>
      <c r="K50" s="26">
        <f t="shared" si="12"/>
        <v>8.725966341077628</v>
      </c>
      <c r="L50" s="26"/>
      <c r="M50" s="26">
        <f t="shared" si="21"/>
        <v>33.99331358779671</v>
      </c>
      <c r="N50" s="26">
        <f t="shared" si="22"/>
        <v>36.632834952162675</v>
      </c>
      <c r="O50" s="26">
        <f t="shared" si="23"/>
        <v>41.87292379333343</v>
      </c>
      <c r="P50" s="26">
        <f t="shared" si="24"/>
        <v>78.00523006440194</v>
      </c>
      <c r="Q50" s="26">
        <f t="shared" si="25"/>
        <v>72.35621521335813</v>
      </c>
      <c r="R50" s="26">
        <f t="shared" si="13"/>
        <v>19.607843137254903</v>
      </c>
    </row>
    <row r="51" spans="1:18" ht="11.25">
      <c r="A51" s="26">
        <f t="shared" si="26"/>
        <v>52</v>
      </c>
      <c r="B51" s="26"/>
      <c r="C51" s="25">
        <f t="shared" si="15"/>
        <v>214.22199073715186</v>
      </c>
      <c r="D51" s="26">
        <f t="shared" si="16"/>
        <v>249.99999999999997</v>
      </c>
      <c r="E51" s="26">
        <f t="shared" si="17"/>
        <v>321.0280089521414</v>
      </c>
      <c r="F51" s="26">
        <f t="shared" si="11"/>
        <v>773.9942844435702</v>
      </c>
      <c r="G51" s="26"/>
      <c r="H51" s="26">
        <f t="shared" si="18"/>
        <v>15.251356546965505</v>
      </c>
      <c r="I51" s="26">
        <f t="shared" si="19"/>
        <v>14.521193092621665</v>
      </c>
      <c r="J51" s="26">
        <f t="shared" si="20"/>
        <v>13.071641889516739</v>
      </c>
      <c r="K51" s="26">
        <f t="shared" si="12"/>
        <v>7.961058946068855</v>
      </c>
      <c r="L51" s="26"/>
      <c r="M51" s="26">
        <f t="shared" si="21"/>
        <v>33.33959601880063</v>
      </c>
      <c r="N51" s="26">
        <f t="shared" si="22"/>
        <v>35.928357356928785</v>
      </c>
      <c r="O51" s="26">
        <f t="shared" si="23"/>
        <v>41.06767525884626</v>
      </c>
      <c r="P51" s="26">
        <f t="shared" si="24"/>
        <v>77.60044308220535</v>
      </c>
      <c r="Q51" s="26">
        <f t="shared" si="25"/>
        <v>72.35621521335813</v>
      </c>
      <c r="R51" s="26">
        <f t="shared" si="13"/>
        <v>19.23076923076923</v>
      </c>
    </row>
    <row r="52" spans="1:18" ht="11.25">
      <c r="A52" s="26">
        <f t="shared" si="26"/>
        <v>53</v>
      </c>
      <c r="B52" s="26"/>
      <c r="C52" s="25">
        <f t="shared" si="15"/>
        <v>210.18006638362067</v>
      </c>
      <c r="D52" s="26">
        <f t="shared" si="16"/>
        <v>245.28301886792448</v>
      </c>
      <c r="E52" s="26">
        <f t="shared" si="17"/>
        <v>314.97087670776136</v>
      </c>
      <c r="F52" s="26">
        <f t="shared" si="11"/>
        <v>777.1314713930736</v>
      </c>
      <c r="G52" s="26"/>
      <c r="H52" s="26">
        <f t="shared" si="18"/>
        <v>14.963595102683136</v>
      </c>
      <c r="I52" s="26">
        <f t="shared" si="19"/>
        <v>14.24720831728918</v>
      </c>
      <c r="J52" s="26">
        <f t="shared" si="20"/>
        <v>12.825007136884347</v>
      </c>
      <c r="K52" s="26">
        <f t="shared" si="12"/>
        <v>7.1934955234017135</v>
      </c>
      <c r="L52" s="26"/>
      <c r="M52" s="26">
        <f t="shared" si="21"/>
        <v>32.710547037313816</v>
      </c>
      <c r="N52" s="26">
        <f t="shared" si="22"/>
        <v>35.25046382189239</v>
      </c>
      <c r="O52" s="26">
        <f t="shared" si="23"/>
        <v>40.292813461509525</v>
      </c>
      <c r="P52" s="26">
        <f t="shared" si="24"/>
        <v>77.18785696609915</v>
      </c>
      <c r="Q52" s="26">
        <f t="shared" si="25"/>
        <v>72.35621521335813</v>
      </c>
      <c r="R52" s="26">
        <f t="shared" si="13"/>
        <v>18.867924528301888</v>
      </c>
    </row>
    <row r="53" spans="1:18" ht="11.25">
      <c r="A53" s="26">
        <f t="shared" si="26"/>
        <v>54</v>
      </c>
      <c r="B53" s="26"/>
      <c r="C53" s="25">
        <f t="shared" si="15"/>
        <v>206.28784293207215</v>
      </c>
      <c r="D53" s="26">
        <f t="shared" si="16"/>
        <v>240.7407407407407</v>
      </c>
      <c r="E53" s="26">
        <f t="shared" si="17"/>
        <v>309.1380826946547</v>
      </c>
      <c r="F53" s="26">
        <f t="shared" si="11"/>
        <v>780.2099774118383</v>
      </c>
      <c r="G53" s="26"/>
      <c r="H53" s="26">
        <f t="shared" si="18"/>
        <v>14.686491489670486</v>
      </c>
      <c r="I53" s="26">
        <f t="shared" si="19"/>
        <v>13.983371126228269</v>
      </c>
      <c r="J53" s="26">
        <f t="shared" si="20"/>
        <v>12.587507004719821</v>
      </c>
      <c r="K53" s="26">
        <f t="shared" si="12"/>
        <v>6.423396914090392</v>
      </c>
      <c r="L53" s="26"/>
      <c r="M53" s="26">
        <f t="shared" si="21"/>
        <v>32.104796166252456</v>
      </c>
      <c r="N53" s="26">
        <f t="shared" si="22"/>
        <v>34.59767745482031</v>
      </c>
      <c r="O53" s="26">
        <f t="shared" si="23"/>
        <v>39.54665024925936</v>
      </c>
      <c r="P53" s="26">
        <f t="shared" si="24"/>
        <v>76.76763150479474</v>
      </c>
      <c r="Q53" s="26">
        <f t="shared" si="25"/>
        <v>72.35621521335813</v>
      </c>
      <c r="R53" s="26">
        <f t="shared" si="13"/>
        <v>18.51851851851852</v>
      </c>
    </row>
    <row r="54" spans="1:18" ht="11.25">
      <c r="A54" s="26">
        <f t="shared" si="26"/>
        <v>55</v>
      </c>
      <c r="B54" s="26"/>
      <c r="C54" s="25">
        <f t="shared" si="15"/>
        <v>202.53715487876173</v>
      </c>
      <c r="D54" s="26">
        <f t="shared" si="16"/>
        <v>236.3636363636363</v>
      </c>
      <c r="E54" s="26">
        <f t="shared" si="17"/>
        <v>303.51739028202456</v>
      </c>
      <c r="F54" s="26">
        <f t="shared" si="11"/>
        <v>783.2304056318468</v>
      </c>
      <c r="G54" s="26"/>
      <c r="H54" s="26">
        <f t="shared" si="18"/>
        <v>14.419464371676474</v>
      </c>
      <c r="I54" s="26">
        <f t="shared" si="19"/>
        <v>13.7291280148423</v>
      </c>
      <c r="J54" s="26">
        <f t="shared" si="20"/>
        <v>12.358643240997642</v>
      </c>
      <c r="K54" s="26">
        <f t="shared" si="12"/>
        <v>5.650879747141572</v>
      </c>
      <c r="L54" s="26"/>
      <c r="M54" s="26">
        <f t="shared" si="21"/>
        <v>31.521072599593314</v>
      </c>
      <c r="N54" s="26">
        <f t="shared" si="22"/>
        <v>33.96862877382357</v>
      </c>
      <c r="O54" s="26">
        <f t="shared" si="23"/>
        <v>38.82762024472736</v>
      </c>
      <c r="P54" s="26">
        <f t="shared" si="24"/>
        <v>76.33992755484205</v>
      </c>
      <c r="Q54" s="26">
        <f t="shared" si="25"/>
        <v>72.35621521335813</v>
      </c>
      <c r="R54" s="26">
        <f t="shared" si="13"/>
        <v>18.181818181818183</v>
      </c>
    </row>
    <row r="55" spans="1:18" ht="11.25">
      <c r="A55" s="26">
        <f t="shared" si="26"/>
        <v>56</v>
      </c>
      <c r="B55" s="26"/>
      <c r="C55" s="25">
        <f t="shared" si="15"/>
        <v>198.92041997021244</v>
      </c>
      <c r="D55" s="26">
        <f t="shared" si="16"/>
        <v>232.1428571428571</v>
      </c>
      <c r="E55" s="26">
        <f t="shared" si="17"/>
        <v>298.0974368841313</v>
      </c>
      <c r="F55" s="26">
        <f t="shared" si="11"/>
        <v>786.1934072819201</v>
      </c>
      <c r="G55" s="26"/>
      <c r="H55" s="26">
        <f t="shared" si="18"/>
        <v>14.161973936467971</v>
      </c>
      <c r="I55" s="26">
        <f t="shared" si="19"/>
        <v>13.483965014577262</v>
      </c>
      <c r="J55" s="26">
        <f t="shared" si="20"/>
        <v>12.137953183122686</v>
      </c>
      <c r="K55" s="26">
        <f t="shared" si="12"/>
        <v>4.87605648343875</v>
      </c>
      <c r="L55" s="26"/>
      <c r="M55" s="26">
        <f t="shared" si="21"/>
        <v>30.958196303172013</v>
      </c>
      <c r="N55" s="26">
        <f t="shared" si="22"/>
        <v>33.362046117148154</v>
      </c>
      <c r="O55" s="26">
        <f t="shared" si="23"/>
        <v>38.13426988321438</v>
      </c>
      <c r="P55" s="26">
        <f t="shared" si="24"/>
        <v>75.90490655602795</v>
      </c>
      <c r="Q55" s="26">
        <f t="shared" si="25"/>
        <v>72.35621521335813</v>
      </c>
      <c r="R55" s="26">
        <f t="shared" si="13"/>
        <v>17.857142857142858</v>
      </c>
    </row>
    <row r="56" spans="1:18" ht="11.25">
      <c r="A56" s="26">
        <f t="shared" si="26"/>
        <v>57</v>
      </c>
      <c r="B56" s="26"/>
      <c r="C56" s="25">
        <f t="shared" si="15"/>
        <v>195.43058804091044</v>
      </c>
      <c r="D56" s="26">
        <f t="shared" si="16"/>
        <v>228.07017543859644</v>
      </c>
      <c r="E56" s="26">
        <f t="shared" si="17"/>
        <v>292.8676572896728</v>
      </c>
      <c r="F56" s="26">
        <f t="shared" si="11"/>
        <v>789.0996763326</v>
      </c>
      <c r="G56" s="26"/>
      <c r="H56" s="26">
        <f t="shared" si="18"/>
        <v>13.91351825337204</v>
      </c>
      <c r="I56" s="26">
        <f t="shared" si="19"/>
        <v>13.247404224847832</v>
      </c>
      <c r="J56" s="26">
        <f t="shared" si="20"/>
        <v>11.925006636050357</v>
      </c>
      <c r="K56" s="26">
        <f t="shared" si="12"/>
        <v>4.099035468605547</v>
      </c>
      <c r="L56" s="26"/>
      <c r="M56" s="26">
        <f t="shared" si="21"/>
        <v>30.415070052239166</v>
      </c>
      <c r="N56" s="26">
        <f t="shared" si="22"/>
        <v>32.77674706246134</v>
      </c>
      <c r="O56" s="26">
        <f t="shared" si="23"/>
        <v>37.46524760456148</v>
      </c>
      <c r="P56" s="26">
        <f t="shared" si="24"/>
        <v>75.46273009260504</v>
      </c>
      <c r="Q56" s="26">
        <f t="shared" si="25"/>
        <v>72.35621521335813</v>
      </c>
      <c r="R56" s="26">
        <f t="shared" si="13"/>
        <v>17.54385964912281</v>
      </c>
    </row>
    <row r="57" spans="1:18" ht="11.25">
      <c r="A57" s="26">
        <f t="shared" si="26"/>
        <v>58</v>
      </c>
      <c r="B57" s="26"/>
      <c r="C57" s="25">
        <f t="shared" si="15"/>
        <v>192.06109514365335</v>
      </c>
      <c r="D57" s="26">
        <f t="shared" si="16"/>
        <v>224.1379310344827</v>
      </c>
      <c r="E57" s="26">
        <f t="shared" si="17"/>
        <v>287.8182149226095</v>
      </c>
      <c r="F57" s="26">
        <f t="shared" si="11"/>
        <v>791.9499445245882</v>
      </c>
      <c r="G57" s="26"/>
      <c r="H57" s="26">
        <f t="shared" si="18"/>
        <v>13.673630007624245</v>
      </c>
      <c r="I57" s="26">
        <f t="shared" si="19"/>
        <v>13.019000703729766</v>
      </c>
      <c r="J57" s="26">
        <f t="shared" si="20"/>
        <v>11.719403073359834</v>
      </c>
      <c r="K57" s="26">
        <f t="shared" si="12"/>
        <v>3.3199209939378664</v>
      </c>
      <c r="L57" s="26"/>
      <c r="M57" s="26">
        <f t="shared" si="21"/>
        <v>29.890672292717802</v>
      </c>
      <c r="N57" s="26">
        <f t="shared" si="22"/>
        <v>32.21163073379821</v>
      </c>
      <c r="O57" s="26">
        <f t="shared" si="23"/>
        <v>36.81929505965526</v>
      </c>
      <c r="P57" s="26">
        <f t="shared" si="24"/>
        <v>75.01355949672427</v>
      </c>
      <c r="Q57" s="26">
        <f t="shared" si="25"/>
        <v>72.35621521335813</v>
      </c>
      <c r="R57" s="26">
        <f t="shared" si="13"/>
        <v>17.24137931034483</v>
      </c>
    </row>
    <row r="58" spans="1:18" ht="11.25">
      <c r="A58" s="26">
        <f t="shared" si="26"/>
        <v>59</v>
      </c>
      <c r="B58" s="26"/>
      <c r="C58" s="25">
        <f t="shared" si="15"/>
        <v>188.8058223446084</v>
      </c>
      <c r="D58" s="26">
        <f t="shared" si="16"/>
        <v>220.33898305084742</v>
      </c>
      <c r="E58" s="26">
        <f t="shared" si="17"/>
        <v>282.93994009341276</v>
      </c>
      <c r="F58" s="26">
        <f t="shared" si="11"/>
        <v>794.7449767534016</v>
      </c>
      <c r="G58" s="26"/>
      <c r="H58" s="26">
        <f t="shared" si="18"/>
        <v>13.441873566817055</v>
      </c>
      <c r="I58" s="26">
        <f t="shared" si="19"/>
        <v>12.798339674852992</v>
      </c>
      <c r="J58" s="26">
        <f t="shared" si="20"/>
        <v>11.520769122963905</v>
      </c>
      <c r="K58" s="26">
        <f t="shared" si="12"/>
        <v>2.5388133645300472</v>
      </c>
      <c r="L58" s="26"/>
      <c r="M58" s="26">
        <f t="shared" si="21"/>
        <v>29.38405072843445</v>
      </c>
      <c r="N58" s="26">
        <f t="shared" si="22"/>
        <v>31.665670890852486</v>
      </c>
      <c r="O58" s="26">
        <f t="shared" si="23"/>
        <v>36.195239211186525</v>
      </c>
      <c r="P58" s="26">
        <f t="shared" si="24"/>
        <v>74.55755549079109</v>
      </c>
      <c r="Q58" s="26">
        <f t="shared" si="25"/>
        <v>72.35621521335813</v>
      </c>
      <c r="R58" s="26">
        <f t="shared" si="13"/>
        <v>16.949152542372882</v>
      </c>
    </row>
    <row r="59" spans="1:18" ht="11.25">
      <c r="A59" s="26">
        <f t="shared" si="26"/>
        <v>60</v>
      </c>
      <c r="B59" s="26"/>
      <c r="C59" s="25">
        <f t="shared" si="15"/>
        <v>185.65905863886493</v>
      </c>
      <c r="D59" s="26">
        <f t="shared" si="16"/>
        <v>216.66666666666663</v>
      </c>
      <c r="E59" s="26">
        <f t="shared" si="17"/>
        <v>278.2242744251892</v>
      </c>
      <c r="F59" s="26">
        <f t="shared" si="11"/>
        <v>797.4855667857577</v>
      </c>
      <c r="G59" s="26"/>
      <c r="H59" s="26">
        <f t="shared" si="18"/>
        <v>13.217842340703436</v>
      </c>
      <c r="I59" s="26">
        <f t="shared" si="19"/>
        <v>12.585034013605444</v>
      </c>
      <c r="J59" s="26">
        <f t="shared" si="20"/>
        <v>11.328756304247838</v>
      </c>
      <c r="K59" s="26">
        <f t="shared" si="12"/>
        <v>1.7558089737588123</v>
      </c>
      <c r="L59" s="26"/>
      <c r="M59" s="26">
        <f t="shared" si="21"/>
        <v>28.89431654962721</v>
      </c>
      <c r="N59" s="26">
        <f t="shared" si="22"/>
        <v>31.137909709338278</v>
      </c>
      <c r="O59" s="26">
        <f t="shared" si="23"/>
        <v>35.59198522433342</v>
      </c>
      <c r="P59" s="26">
        <f t="shared" si="24"/>
        <v>74.0948778657587</v>
      </c>
      <c r="Q59" s="26">
        <f t="shared" si="25"/>
        <v>72.35621521335813</v>
      </c>
      <c r="R59" s="26">
        <f t="shared" si="13"/>
        <v>16.666666666666668</v>
      </c>
    </row>
  </sheetData>
  <mergeCells count="3">
    <mergeCell ref="C7:F7"/>
    <mergeCell ref="H7:K7"/>
    <mergeCell ref="M7:P7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2"/>
  <headerFooter alignWithMargins="0">
    <oddHeader>&amp;C&amp;"Arial,Gras italique"&amp;16Analyse des différentes méthodes&amp;R&amp;"Arial,Gras italique"&amp;16&amp;A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Francaise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Autorité de Régulation des Télécommunications</dc:creator>
  <cp:keywords/>
  <dc:description/>
  <cp:lastModifiedBy>Nicolas DEFFIEUX</cp:lastModifiedBy>
  <cp:lastPrinted>2005-04-14T13:34:26Z</cp:lastPrinted>
  <dcterms:created xsi:type="dcterms:W3CDTF">2005-03-11T21:46:50Z</dcterms:created>
  <dcterms:modified xsi:type="dcterms:W3CDTF">2005-05-02T15:04:01Z</dcterms:modified>
  <cp:category/>
  <cp:version/>
  <cp:contentType/>
  <cp:contentStatus/>
</cp:coreProperties>
</file>